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55" yWindow="65506" windowWidth="9945" windowHeight="11640" activeTab="1"/>
  </bookViews>
  <sheets>
    <sheet name="Statistiques AFE 2009" sheetId="1" r:id="rId1"/>
    <sheet name="Résultats AFE 2009" sheetId="2" r:id="rId2"/>
  </sheets>
  <definedNames>
    <definedName name="_xlnm.Print_Titles" localSheetId="0">'Statistiques AFE 2009'!$1:$2</definedName>
    <definedName name="_xlnm.Print_Area" localSheetId="1">'Résultats AFE 2009'!$A$1:$U$379</definedName>
    <definedName name="_xlnm.Print_Area" localSheetId="0">'Statistiques AFE 2009'!$A$1:$R$230</definedName>
  </definedNames>
  <calcPr fullCalcOnLoad="1"/>
</workbook>
</file>

<file path=xl/comments1.xml><?xml version="1.0" encoding="utf-8"?>
<comments xmlns="http://schemas.openxmlformats.org/spreadsheetml/2006/main">
  <authors>
    <author>St?phane Sobanski</author>
  </authors>
  <commentList>
    <comment ref="L96" authorId="0">
      <text>
        <r>
          <rPr>
            <b/>
            <sz val="8"/>
            <rFont val="Tahoma"/>
            <family val="0"/>
          </rPr>
          <t>Stéphane Sobanski:</t>
        </r>
        <r>
          <rPr>
            <sz val="8"/>
            <rFont val="Tahoma"/>
            <family val="0"/>
          </rPr>
          <t xml:space="preserve">
Stéphane Sobanski:
Certains BV de la circonscription ont ajouté par inadvertance aux votes nuls les votes jugés inexistants, ce qui n'affecte pas les suffrages exprimés (cf TD FSLT DAKAR 135, 136, 137, 139/09).</t>
        </r>
      </text>
    </comment>
    <comment ref="M197" authorId="0">
      <text>
        <r>
          <rPr>
            <b/>
            <sz val="8"/>
            <rFont val="Tahoma"/>
            <family val="0"/>
          </rPr>
          <t>Stéphane Sobanski:</t>
        </r>
        <r>
          <rPr>
            <sz val="8"/>
            <rFont val="Tahoma"/>
            <family val="0"/>
          </rPr>
          <t xml:space="preserve">
Erreur de comptage dans le TD Caracas 308</t>
        </r>
      </text>
    </comment>
    <comment ref="F158" authorId="0">
      <text>
        <r>
          <rPr>
            <b/>
            <sz val="8"/>
            <rFont val="Tahoma"/>
            <family val="0"/>
          </rPr>
          <t>Stéphane Sobanski:</t>
        </r>
        <r>
          <rPr>
            <sz val="8"/>
            <rFont val="Tahoma"/>
            <family val="0"/>
          </rPr>
          <t xml:space="preserve">
Confusion entre le vote nul (émargé) et le vote inextistant: 
En réalité 7 nuls + 42 inexistants
cf TD FSLT ATLANTA 63</t>
        </r>
      </text>
    </comment>
    <comment ref="F79" authorId="0">
      <text>
        <r>
          <rPr>
            <b/>
            <sz val="8"/>
            <rFont val="Tahoma"/>
            <family val="0"/>
          </rPr>
          <t>Stéphane Sobanski:</t>
        </r>
        <r>
          <rPr>
            <sz val="8"/>
            <rFont val="Tahoma"/>
            <family val="0"/>
          </rPr>
          <t xml:space="preserve">
Confusion entre les votes nuls et les votes inexistants (cf TD DOUALA 70)</t>
        </r>
      </text>
    </comment>
    <comment ref="O192" authorId="0">
      <text>
        <r>
          <rPr>
            <b/>
            <sz val="8"/>
            <rFont val="Tahoma"/>
            <family val="0"/>
          </rPr>
          <t>Stéphane Sobanski:</t>
        </r>
        <r>
          <rPr>
            <sz val="8"/>
            <rFont val="Tahoma"/>
            <family val="0"/>
          </rPr>
          <t xml:space="preserve">
1 électeur radié sur décision judiciaire (TD Santiago 274).</t>
        </r>
      </text>
    </comment>
    <comment ref="F188" authorId="0">
      <text>
        <r>
          <rPr>
            <b/>
            <sz val="8"/>
            <rFont val="Tahoma"/>
            <family val="0"/>
          </rPr>
          <t>Stéphane Sobanski:</t>
        </r>
        <r>
          <rPr>
            <sz val="8"/>
            <rFont val="Tahoma"/>
            <family val="0"/>
          </rPr>
          <t xml:space="preserve">
Confusion dans le comptage vote nul / inexistant. Absence de TD rectificatif de la part de Buenos Aires.</t>
        </r>
      </text>
    </comment>
    <comment ref="M230" authorId="0">
      <text>
        <r>
          <rPr>
            <b/>
            <sz val="8"/>
            <rFont val="Tahoma"/>
            <family val="0"/>
          </rPr>
          <t>Stéphane Sobanski:</t>
        </r>
        <r>
          <rPr>
            <sz val="8"/>
            <rFont val="Tahoma"/>
            <family val="0"/>
          </rPr>
          <t xml:space="preserve">
Les suffrages exprimés correspondent à la somme de ceux annoncés par les postes. La somme ne peut se déduire arithmétiquement par la formule nb d'émargements-nb de votes nuls, car il y a souvent eu confusion dans les postes entre vote nul et vote inexistant. En revanche, </t>
        </r>
        <r>
          <rPr>
            <b/>
            <sz val="8"/>
            <rFont val="Tahoma"/>
            <family val="2"/>
          </rPr>
          <t>l'addition des suffrages exprimés est juste</t>
        </r>
        <r>
          <rPr>
            <sz val="8"/>
            <rFont val="Tahoma"/>
            <family val="0"/>
          </rPr>
          <t>.</t>
        </r>
      </text>
    </comment>
    <comment ref="R230" authorId="0">
      <text>
        <r>
          <rPr>
            <b/>
            <sz val="8"/>
            <rFont val="Tahoma"/>
            <family val="0"/>
          </rPr>
          <t>Stéphane Sobanski:</t>
        </r>
        <r>
          <rPr>
            <sz val="8"/>
            <rFont val="Tahoma"/>
            <family val="0"/>
          </rPr>
          <t xml:space="preserve">
Variation des à l'ajout des éléecteurs inscrits entre le 28/02/2008 et le 07/06/2009.</t>
        </r>
      </text>
    </comment>
    <comment ref="N230" authorId="0">
      <text>
        <r>
          <rPr>
            <b/>
            <sz val="8"/>
            <rFont val="Tahoma"/>
            <family val="0"/>
          </rPr>
          <t>Stéphane Sobanski:</t>
        </r>
        <r>
          <rPr>
            <sz val="8"/>
            <rFont val="Tahoma"/>
            <family val="0"/>
          </rPr>
          <t xml:space="preserve">
Inscrits au 28/02/2008 (inscrits "ELECTIS")</t>
        </r>
      </text>
    </comment>
    <comment ref="O230" authorId="0">
      <text>
        <r>
          <rPr>
            <b/>
            <sz val="8"/>
            <rFont val="Tahoma"/>
            <family val="0"/>
          </rPr>
          <t>Stéphane Sobanski:</t>
        </r>
        <r>
          <rPr>
            <sz val="8"/>
            <rFont val="Tahoma"/>
            <family val="0"/>
          </rPr>
          <t xml:space="preserve">
Résultat de la différence entre les inscriptions et radiations entre le 28/02/2008 et le 07/06/2009.</t>
        </r>
      </text>
    </comment>
  </commentList>
</comments>
</file>

<file path=xl/sharedStrings.xml><?xml version="1.0" encoding="utf-8"?>
<sst xmlns="http://schemas.openxmlformats.org/spreadsheetml/2006/main" count="1044" uniqueCount="670">
  <si>
    <t>ANNABA</t>
  </si>
  <si>
    <t>ORAN</t>
  </si>
  <si>
    <t>RABAT</t>
  </si>
  <si>
    <t>CASABLANCA</t>
  </si>
  <si>
    <t>MARRAKECH</t>
  </si>
  <si>
    <t>FES</t>
  </si>
  <si>
    <t>AGADIR</t>
  </si>
  <si>
    <t>TANGER</t>
  </si>
  <si>
    <t>TUNIS</t>
  </si>
  <si>
    <t>TRIPOLI</t>
  </si>
  <si>
    <t>LE CAP</t>
  </si>
  <si>
    <t>TANANARIVE</t>
  </si>
  <si>
    <t>MAJUNGA</t>
  </si>
  <si>
    <t>TAMATAVE</t>
  </si>
  <si>
    <t>PORT LOUIS</t>
  </si>
  <si>
    <t>MORONI</t>
  </si>
  <si>
    <t>VICTORIA</t>
  </si>
  <si>
    <t>LE CAIRE</t>
  </si>
  <si>
    <t>ALEXANDRIE</t>
  </si>
  <si>
    <t>KHARTOUM</t>
  </si>
  <si>
    <t>DJIBOUTI</t>
  </si>
  <si>
    <t>NAIROBI</t>
  </si>
  <si>
    <t>HARARE</t>
  </si>
  <si>
    <t>GABORONE</t>
  </si>
  <si>
    <t>MAPUTO</t>
  </si>
  <si>
    <t>KAMPALA</t>
  </si>
  <si>
    <t>LUANDA</t>
  </si>
  <si>
    <t>LUSAKA</t>
  </si>
  <si>
    <t>WINDHOEK</t>
  </si>
  <si>
    <t>YAOUNDE</t>
  </si>
  <si>
    <t>DOUALA</t>
  </si>
  <si>
    <t>GAROUA</t>
  </si>
  <si>
    <t>MALABO</t>
  </si>
  <si>
    <t>BANGUI</t>
  </si>
  <si>
    <t>NDJAMENA</t>
  </si>
  <si>
    <t>DAKAR</t>
  </si>
  <si>
    <t>SAINT-LOUIS</t>
  </si>
  <si>
    <t>BISSAU</t>
  </si>
  <si>
    <t>CONAKRY</t>
  </si>
  <si>
    <t>PRAIA</t>
  </si>
  <si>
    <t>NOUAKCHOTT</t>
  </si>
  <si>
    <t>BAMAKO</t>
  </si>
  <si>
    <t>NIAMEY</t>
  </si>
  <si>
    <t>OUAGADOUGOU</t>
  </si>
  <si>
    <t>ABIDJAN</t>
  </si>
  <si>
    <t>LOME</t>
  </si>
  <si>
    <t>ABUJA</t>
  </si>
  <si>
    <t>ACCRA</t>
  </si>
  <si>
    <t>COTONOU</t>
  </si>
  <si>
    <t>LAGOS</t>
  </si>
  <si>
    <t>LIBREVILLE</t>
  </si>
  <si>
    <t>PORT-GENTIL</t>
  </si>
  <si>
    <t>BRAZZAVILLE</t>
  </si>
  <si>
    <t>BUJUMBURA</t>
  </si>
  <si>
    <t>KIGALI</t>
  </si>
  <si>
    <t>KINSHASA</t>
  </si>
  <si>
    <t>POINTE-NOIRE</t>
  </si>
  <si>
    <t>TORONTO</t>
  </si>
  <si>
    <t>VANCOUVER</t>
  </si>
  <si>
    <t>MONTREAL</t>
  </si>
  <si>
    <t>QUEBEC</t>
  </si>
  <si>
    <t>WASHINGTON</t>
  </si>
  <si>
    <t>NEW-YORK</t>
  </si>
  <si>
    <t>ATLANTA</t>
  </si>
  <si>
    <t>BOSTON</t>
  </si>
  <si>
    <t>CHICAGO</t>
  </si>
  <si>
    <t>MIAMI</t>
  </si>
  <si>
    <t>SAN-FRANCISCO</t>
  </si>
  <si>
    <t>LOS-ANGELES</t>
  </si>
  <si>
    <t>BRASILIA</t>
  </si>
  <si>
    <t>RECIFE</t>
  </si>
  <si>
    <t>RIO DEJANEIRO</t>
  </si>
  <si>
    <t>SAO-PAULO</t>
  </si>
  <si>
    <t>PARAMARIBO</t>
  </si>
  <si>
    <t>BUENOS-AIRES</t>
  </si>
  <si>
    <t>ASSOMPTION</t>
  </si>
  <si>
    <t>MONTEVIDEO</t>
  </si>
  <si>
    <t>SANTIAGO</t>
  </si>
  <si>
    <t>CARACAS</t>
  </si>
  <si>
    <t>BOGOTA</t>
  </si>
  <si>
    <t>QUITO</t>
  </si>
  <si>
    <t>LIMA</t>
  </si>
  <si>
    <t>MEXICO</t>
  </si>
  <si>
    <t>MANAGUA</t>
  </si>
  <si>
    <t>TEGUCIGALPA</t>
  </si>
  <si>
    <t>GUATEMALA</t>
  </si>
  <si>
    <t>PANAMA</t>
  </si>
  <si>
    <t>SAN SALVADOR</t>
  </si>
  <si>
    <t>PORT-AU-PRINCE</t>
  </si>
  <si>
    <t>CASTRIES</t>
  </si>
  <si>
    <t>KINGSTON</t>
  </si>
  <si>
    <t>LA HAVANE</t>
  </si>
  <si>
    <t>PORT D ESPAGNE</t>
  </si>
  <si>
    <t>SAINT DOMINGUE</t>
  </si>
  <si>
    <t>JOHANNESBURG</t>
  </si>
  <si>
    <t>AMERIQUE</t>
  </si>
  <si>
    <t>MONCTON et HALIFAX</t>
  </si>
  <si>
    <t xml:space="preserve">HOUSTON </t>
  </si>
  <si>
    <t>LN ORLEANS</t>
  </si>
  <si>
    <t>DIEGO SUAREZ</t>
  </si>
  <si>
    <t>ADDIS ABEBA</t>
  </si>
  <si>
    <t>DAR ES SALAM</t>
  </si>
  <si>
    <t>LA PAZ</t>
  </si>
  <si>
    <t>SAN JOSE</t>
  </si>
  <si>
    <t>Bureaux de vote</t>
  </si>
  <si>
    <t>JOHANNESBOURG - 1</t>
  </si>
  <si>
    <t>LE CAP - 1</t>
  </si>
  <si>
    <t>ANNABA - 1</t>
  </si>
  <si>
    <t>CONSTANTINE - 1</t>
  </si>
  <si>
    <t>ORAN - 1</t>
  </si>
  <si>
    <t>LUANDA - 1</t>
  </si>
  <si>
    <t>COTONOU - 1</t>
  </si>
  <si>
    <t>LA PAZ - 1</t>
  </si>
  <si>
    <t>GABORONE - 1</t>
  </si>
  <si>
    <t>BRASILIA - 1</t>
  </si>
  <si>
    <t>RECIFE - 1</t>
  </si>
  <si>
    <t>RIO DE JANEIRO - 1</t>
  </si>
  <si>
    <t>OUAGADOUGOU - 1</t>
  </si>
  <si>
    <t>BUJUMBURA - 1</t>
  </si>
  <si>
    <t>GAROUA - 1</t>
  </si>
  <si>
    <t>YAOUNDE - 1</t>
  </si>
  <si>
    <t>MONCTON - 1</t>
  </si>
  <si>
    <t>OTTAWA-MONTREAL - 1</t>
  </si>
  <si>
    <t>TORONTO - 1</t>
  </si>
  <si>
    <t>OTTAWA-TORONTO - 1</t>
  </si>
  <si>
    <t>VANCOUVER - 1</t>
  </si>
  <si>
    <t>PRAIA - 1</t>
  </si>
  <si>
    <t>BANGUI - 1</t>
  </si>
  <si>
    <t>BOGOTA - 1</t>
  </si>
  <si>
    <t>MORONI - 1</t>
  </si>
  <si>
    <t>BRAZZAVILLE - 1</t>
  </si>
  <si>
    <t>SAN JOSE - 1</t>
  </si>
  <si>
    <t>LA HAVANE - 1</t>
  </si>
  <si>
    <t>DJIBOUTI - 1</t>
  </si>
  <si>
    <t>ALEXANDRIE - 1</t>
  </si>
  <si>
    <t>LE CAIRE - 1</t>
  </si>
  <si>
    <t>SAN SALVADOR - 1</t>
  </si>
  <si>
    <t>QUITO - 1</t>
  </si>
  <si>
    <t>ATLANTA - 1</t>
  </si>
  <si>
    <t>BOSTON - 1</t>
  </si>
  <si>
    <t>CHICAGO - 1</t>
  </si>
  <si>
    <t>HOUSTON - 1</t>
  </si>
  <si>
    <t>LOUISIANE - 1</t>
  </si>
  <si>
    <t>LOS-ANGELES - 1</t>
  </si>
  <si>
    <t>MIAMI - 1</t>
  </si>
  <si>
    <t>NASSAU - 1</t>
  </si>
  <si>
    <t>SAN-FRANCISCO - 1</t>
  </si>
  <si>
    <t>WASHINGTON - 1</t>
  </si>
  <si>
    <t>ADDIS ABEBA - 1</t>
  </si>
  <si>
    <t>FRANCEVILLE - 1</t>
  </si>
  <si>
    <t>PORT-GENTIL - 1</t>
  </si>
  <si>
    <t>ACCRA - 1</t>
  </si>
  <si>
    <t>GUATEMALA - 1</t>
  </si>
  <si>
    <t>CONAKRY - 1</t>
  </si>
  <si>
    <t>MALABO - 1</t>
  </si>
  <si>
    <t>BISSAO - 1</t>
  </si>
  <si>
    <t>PORT-AU-PRINCE - 1</t>
  </si>
  <si>
    <t>TEGUCIGALPA - 1</t>
  </si>
  <si>
    <t>KINGSTON - 1</t>
  </si>
  <si>
    <t>NAIROBI - 1</t>
  </si>
  <si>
    <t>TRIPOLI - 1</t>
  </si>
  <si>
    <t>DIEGO-SUAREZ - 1</t>
  </si>
  <si>
    <t>MAJUNGA - 1</t>
  </si>
  <si>
    <t>TAMATAVE - 1</t>
  </si>
  <si>
    <t>AGADIR - 1</t>
  </si>
  <si>
    <t>FES - 1</t>
  </si>
  <si>
    <t>NOUAKCHOTT - 1</t>
  </si>
  <si>
    <t>MAPUTO - 1</t>
  </si>
  <si>
    <t>WINDHOEK - 1</t>
  </si>
  <si>
    <t>MANAGUA - 1</t>
  </si>
  <si>
    <t>NIAMEY - 1</t>
  </si>
  <si>
    <t>ABUJA - 1</t>
  </si>
  <si>
    <t>LAGOS - 1</t>
  </si>
  <si>
    <t>KAMPALA - 1</t>
  </si>
  <si>
    <t>PANAMA - 1</t>
  </si>
  <si>
    <t>ASSOMPTION - 1</t>
  </si>
  <si>
    <t>LIMA - 1</t>
  </si>
  <si>
    <t>KINSHASA - 1</t>
  </si>
  <si>
    <t>SAINT DOMINGUE - 1</t>
  </si>
  <si>
    <t>BUJUMBURA-KIGALI - 1</t>
  </si>
  <si>
    <t>CASTRIES - 1</t>
  </si>
  <si>
    <t>SAINT-LOUIS - 1</t>
  </si>
  <si>
    <t>VICTORIA - 1</t>
  </si>
  <si>
    <t>KHARTOUM - 1</t>
  </si>
  <si>
    <t>DAR-ES-SALAM - 1</t>
  </si>
  <si>
    <t>NDJAMENA - 1</t>
  </si>
  <si>
    <t>LOME - 1</t>
  </si>
  <si>
    <t>PORT- D' ESPAGNE - 1</t>
  </si>
  <si>
    <t>BIZERTE - 1</t>
  </si>
  <si>
    <t>SFAX - 1</t>
  </si>
  <si>
    <t>SOUSSE - 1</t>
  </si>
  <si>
    <t>MONTEVIDEO - 1</t>
  </si>
  <si>
    <t>CARACAS - 1</t>
  </si>
  <si>
    <t>LUSAKA - 1</t>
  </si>
  <si>
    <t>HARARE - 1</t>
  </si>
  <si>
    <t>PARAMARIBO - 1</t>
  </si>
  <si>
    <t>ALGER - 1</t>
  </si>
  <si>
    <t>ALGER - 2</t>
  </si>
  <si>
    <t>ALGER - 3</t>
  </si>
  <si>
    <t>Circonscription d'ALGER</t>
  </si>
  <si>
    <t>VOTE PERSONNEL ET VOTE PAR CORRESPONDANCE</t>
  </si>
  <si>
    <t>VOTE ELECTRONIQUE</t>
  </si>
  <si>
    <t>AMBASSADES OU POSTES CONSULAIRES</t>
  </si>
  <si>
    <t>Votants</t>
  </si>
  <si>
    <t>Participation</t>
  </si>
  <si>
    <t>CGF ALGER</t>
  </si>
  <si>
    <t>Circonscription de RABAT</t>
  </si>
  <si>
    <t>RABAT - 1</t>
  </si>
  <si>
    <t>RABAT - 2</t>
  </si>
  <si>
    <t>Circonscription de TUNIS</t>
  </si>
  <si>
    <t>TUNIS - 1</t>
  </si>
  <si>
    <t>TUNIS - 2</t>
  </si>
  <si>
    <t>TUNIS - 3</t>
  </si>
  <si>
    <t>TANANARIVE - 1</t>
  </si>
  <si>
    <t>TANANARIVE - 2</t>
  </si>
  <si>
    <t>TANANARIVE - 3</t>
  </si>
  <si>
    <t xml:space="preserve">PORT LOUIS - 1
</t>
  </si>
  <si>
    <t xml:space="preserve">PORT LOUIS - 2
</t>
  </si>
  <si>
    <t>DOUALA - 1</t>
  </si>
  <si>
    <t>DOUALA - 2</t>
  </si>
  <si>
    <t>DAKAR - 1</t>
  </si>
  <si>
    <t>DAKAR - 2</t>
  </si>
  <si>
    <t>DAKAR - 3</t>
  </si>
  <si>
    <t>DAKAR - 4</t>
  </si>
  <si>
    <t xml:space="preserve">BAMAKO - 1
</t>
  </si>
  <si>
    <t>TANGER -1</t>
  </si>
  <si>
    <t>CASABLANCA - 1</t>
  </si>
  <si>
    <t>CASABLANCA - 2</t>
  </si>
  <si>
    <t>CASABLANCA - 3</t>
  </si>
  <si>
    <t>CASABLANCA - 4</t>
  </si>
  <si>
    <t>ABIDJAN - 1</t>
  </si>
  <si>
    <t>LIBREVILLE - 1</t>
  </si>
  <si>
    <t>LIBREVILLE - 2</t>
  </si>
  <si>
    <t>POINTE - NOIRE - 1</t>
  </si>
  <si>
    <t>Circonscription deTANANARIVE</t>
  </si>
  <si>
    <t>Circonscription deJOHANNESBURG</t>
  </si>
  <si>
    <t>Circonscription LE CAIRE</t>
  </si>
  <si>
    <t>Circonscription de DJIBOUTI</t>
  </si>
  <si>
    <t>Circonscription de NAIROBI</t>
  </si>
  <si>
    <t>Circonscription de YAOUNDE</t>
  </si>
  <si>
    <t>Circonscription de DAKAR</t>
  </si>
  <si>
    <t>Circonscription de NOUAKCHOTT</t>
  </si>
  <si>
    <t>Circonscription de BAMAKO</t>
  </si>
  <si>
    <t>Circonscription d'ABIDJAN</t>
  </si>
  <si>
    <t>Circonscription de LOME</t>
  </si>
  <si>
    <t>Circonscription de LIBREVILLE</t>
  </si>
  <si>
    <t xml:space="preserve">Circonscription de BRAZZAVILLE </t>
  </si>
  <si>
    <t>Circonscription de TORONTO</t>
  </si>
  <si>
    <t>Circonscription de MONTREAL</t>
  </si>
  <si>
    <t>Circonscription de CHICAGO</t>
  </si>
  <si>
    <t>Circonscription de HOUSTON</t>
  </si>
  <si>
    <t>Circonscription de BRASILIA</t>
  </si>
  <si>
    <t>Circonscription de BUENOS AIRES</t>
  </si>
  <si>
    <t>Circonscription de CARACAS</t>
  </si>
  <si>
    <t>Circonscription de MEXICO</t>
  </si>
  <si>
    <t>MONTREAL - 1</t>
  </si>
  <si>
    <t>MONTREAL - 2</t>
  </si>
  <si>
    <t>MONTREAL - 3</t>
  </si>
  <si>
    <t>MONTREAL - 4</t>
  </si>
  <si>
    <t>MONTREAL - 5</t>
  </si>
  <si>
    <t>MONTREAL - 6</t>
  </si>
  <si>
    <t>MONTREAL - 7</t>
  </si>
  <si>
    <t>MONTREAL - 8</t>
  </si>
  <si>
    <t>QUEBEC - 1</t>
  </si>
  <si>
    <t>QUEBEC - 2</t>
  </si>
  <si>
    <t>NEW YORK - 1</t>
  </si>
  <si>
    <t>NEW YORK - 2</t>
  </si>
  <si>
    <t>SAO PAULO - 1</t>
  </si>
  <si>
    <t>SAO PAULO - 2</t>
  </si>
  <si>
    <t>BUENOS AIRES - 1</t>
  </si>
  <si>
    <t>BUENOS AIRES - 2</t>
  </si>
  <si>
    <t>SANTIAGO - 1</t>
  </si>
  <si>
    <t>SANTIAGO - 2</t>
  </si>
  <si>
    <t>SANTIAGO - 3</t>
  </si>
  <si>
    <t>MEXICO - 1</t>
  </si>
  <si>
    <t>MEXICO - 2</t>
  </si>
  <si>
    <t>MEXICO - 3</t>
  </si>
  <si>
    <t>MEXICO - 4</t>
  </si>
  <si>
    <t>TOTAUX PAR AMBASSADE
OU POSTE CONSULAIRE</t>
  </si>
  <si>
    <t>TOTAL ZONE A</t>
  </si>
  <si>
    <t>TOTAL AFRIQUE</t>
  </si>
  <si>
    <t>TOTAL AMERIQUE</t>
  </si>
  <si>
    <t>ABIDJAN - 2</t>
  </si>
  <si>
    <t>Suffrages Exprimés</t>
  </si>
  <si>
    <t>Nombre de votes</t>
  </si>
  <si>
    <t>soit %</t>
  </si>
  <si>
    <t xml:space="preserve">Total circonscription </t>
  </si>
  <si>
    <t>Sont déclarés élus :</t>
  </si>
  <si>
    <t>Est déclarée élue :</t>
  </si>
  <si>
    <t>Total inscrits</t>
  </si>
  <si>
    <t>inscrits supplémentaires au 7 juin 09</t>
  </si>
  <si>
    <t>circoncription électorale de TORONTO</t>
  </si>
  <si>
    <t>TOTAL CIRCONSCRIPTION (S PROP)</t>
  </si>
  <si>
    <t>TOTAL CIRCONSCRIPTION (S MAJ)</t>
  </si>
  <si>
    <t>NASSAU</t>
  </si>
  <si>
    <t xml:space="preserve">Circonscription de WASHINGTON </t>
  </si>
  <si>
    <t>TOTAL 1ère CIRCONSCRIPTION (S PROP)</t>
  </si>
  <si>
    <t>TOTAL 2nde CIRCONSCRIPTION (S PROP)</t>
  </si>
  <si>
    <t>TOTAL  2nde CIRCONSCRIPTION (S MAJ)</t>
  </si>
  <si>
    <t>TOTAL  3ème CIRCONSCRIPTION (S MAJ)</t>
  </si>
  <si>
    <t>Circonscription de SAN FRANCISCO</t>
  </si>
  <si>
    <t>TOTAL  4 ème CIRCONSCRIPTION (S PROP)</t>
  </si>
  <si>
    <t>MARRAKECH - 1</t>
  </si>
  <si>
    <t>Total des votes      ( c )</t>
  </si>
  <si>
    <t>Vote à l'urne             ( a )</t>
  </si>
  <si>
    <t>Vote par               correspondance ( b )</t>
  </si>
  <si>
    <t>Nombre total des votes         ( f )</t>
  </si>
  <si>
    <t>Suffrages exprimés  (f - g = h)</t>
  </si>
  <si>
    <t>Nombre total des votes          ( e+ h = i )</t>
  </si>
  <si>
    <t>CGF TORONTO</t>
  </si>
  <si>
    <t>CGF VANCOUVER</t>
  </si>
  <si>
    <t>circoncription électorale de MONTREAL</t>
  </si>
  <si>
    <t>CGF MONTREAL</t>
  </si>
  <si>
    <t>CGF QUEBEC</t>
  </si>
  <si>
    <t>CGF MONCTON ET HALIFAX</t>
  </si>
  <si>
    <t>circoncription électorale de WASHINGTON</t>
  </si>
  <si>
    <t>CGF WASHINGTON</t>
  </si>
  <si>
    <t>CGF ATLANTA</t>
  </si>
  <si>
    <t>CGF BOSTON</t>
  </si>
  <si>
    <t>CGF MIAMI</t>
  </si>
  <si>
    <t>CGF NEW-YORK</t>
  </si>
  <si>
    <t>circoncription électorale de SAN FRANCISCO</t>
  </si>
  <si>
    <t>CGF SAN FRANCISCO</t>
  </si>
  <si>
    <t>CGF LOS ANGELES</t>
  </si>
  <si>
    <t>circoncription électorale de BRASILIA</t>
  </si>
  <si>
    <t>AMB BRASILIA</t>
  </si>
  <si>
    <t>CGF RECIFE</t>
  </si>
  <si>
    <t>CGF RIO DE JANEIRO</t>
  </si>
  <si>
    <t>CGF SAO PAULO</t>
  </si>
  <si>
    <t>AMB PARAMARIBO</t>
  </si>
  <si>
    <t>circoncription électorale de BUENOS AIRES</t>
  </si>
  <si>
    <t>CGF BUENOS AIRES</t>
  </si>
  <si>
    <t>AMB ASSOMPTION</t>
  </si>
  <si>
    <t>AMB MONTEVIDEO</t>
  </si>
  <si>
    <t>AMB SANTIAGO</t>
  </si>
  <si>
    <t>circoncription électorale de CARACAS</t>
  </si>
  <si>
    <t>AMB CARACAS</t>
  </si>
  <si>
    <t>AMB BOGOTA</t>
  </si>
  <si>
    <t>AMB QUITO</t>
  </si>
  <si>
    <t>AMB LIMA</t>
  </si>
  <si>
    <t>AMB LA PAZ</t>
  </si>
  <si>
    <t>circoncription électorale de MEXICO</t>
  </si>
  <si>
    <t>CGF MEXICO</t>
  </si>
  <si>
    <t>AMB MANAGUA</t>
  </si>
  <si>
    <t>AMB SAN JOSE</t>
  </si>
  <si>
    <t>AMB TEGUCIGALPA</t>
  </si>
  <si>
    <t>AMB GUATEMALA</t>
  </si>
  <si>
    <t>AMB PANAMA</t>
  </si>
  <si>
    <t>AMB SAN SALVADOR</t>
  </si>
  <si>
    <t>circoncription électorale de ALGER</t>
  </si>
  <si>
    <t>CGF ORAN</t>
  </si>
  <si>
    <t>CGF ANNABA</t>
  </si>
  <si>
    <t>circoncription électorale de RABAT</t>
  </si>
  <si>
    <t>CGF RABAT</t>
  </si>
  <si>
    <t>CGF AGADIR</t>
  </si>
  <si>
    <t>CGF FES</t>
  </si>
  <si>
    <t>CGF MARRAKECH</t>
  </si>
  <si>
    <t>CGF CASABLANCA</t>
  </si>
  <si>
    <t>CGF TANGER</t>
  </si>
  <si>
    <t>circoncription électorale de TUNIS</t>
  </si>
  <si>
    <t>CGF TUNIS</t>
  </si>
  <si>
    <t>AMB TRIPOLI</t>
  </si>
  <si>
    <t>circoncription électorale de TANANARIVE</t>
  </si>
  <si>
    <t>CGF TANANARIVE</t>
  </si>
  <si>
    <t>CH DET DIEGO SUAREZ</t>
  </si>
  <si>
    <t>CH DET MAJUNGA</t>
  </si>
  <si>
    <t>CH DET TAMATAVE</t>
  </si>
  <si>
    <t>AMB PORT-LOUIS</t>
  </si>
  <si>
    <t>AMB MORONI</t>
  </si>
  <si>
    <t>AMB VICTORIA</t>
  </si>
  <si>
    <t>circoncription électorale de YAOUNDE</t>
  </si>
  <si>
    <t>CGF YAOUNDE</t>
  </si>
  <si>
    <t>CGF DOUALA</t>
  </si>
  <si>
    <t>FSLT GAROUA</t>
  </si>
  <si>
    <t>AMB BANGUI</t>
  </si>
  <si>
    <t>AMB N'DJAMENA</t>
  </si>
  <si>
    <t>circoncription électorale de DAKAR</t>
  </si>
  <si>
    <t>CGF DAKAR</t>
  </si>
  <si>
    <t>CGF SAINT-LOUIS</t>
  </si>
  <si>
    <t>AMB BISSAO</t>
  </si>
  <si>
    <t>AMB CONAKRY</t>
  </si>
  <si>
    <t>AMB PRAIA</t>
  </si>
  <si>
    <t>circoncription électorale de BAMAKO</t>
  </si>
  <si>
    <t>AMB BAMAKO</t>
  </si>
  <si>
    <t>AMB NIAMEY</t>
  </si>
  <si>
    <t>AMB OUAGADOUGOU</t>
  </si>
  <si>
    <t>circoncription électorale de ABIDJAN</t>
  </si>
  <si>
    <t>circoncription électorale de LIBREVILLE</t>
  </si>
  <si>
    <t>CGF LIBREVILLE</t>
  </si>
  <si>
    <t>CGF ABIDJAN</t>
  </si>
  <si>
    <t>CH DET PORT-GENTIL</t>
  </si>
  <si>
    <t>AMB MALABO</t>
  </si>
  <si>
    <t>circoncription électorale de BRAZZAVILLE</t>
  </si>
  <si>
    <t>AMB BRAZZAVILLE</t>
  </si>
  <si>
    <t>CGF POINTE NOIRE</t>
  </si>
  <si>
    <t>AMB KINSHASA</t>
  </si>
  <si>
    <t>AMB LUANDA</t>
  </si>
  <si>
    <t>circoncription électorale de CHICAGO</t>
  </si>
  <si>
    <t>M. CHARLES BALESI</t>
  </si>
  <si>
    <t>M. MARC BILLON</t>
  </si>
  <si>
    <t>circoncription électorale de HOUSTON</t>
  </si>
  <si>
    <t>M. DAMIEN REGNARD</t>
  </si>
  <si>
    <t>CGF HOUSTON</t>
  </si>
  <si>
    <t>CGF NOUVELLE-ORLEANS</t>
  </si>
  <si>
    <t>CGF CHICAGO</t>
  </si>
  <si>
    <t>circoncription électorale de PORT-AU-PRINCE</t>
  </si>
  <si>
    <t>AMB PORT-AU-PRINCE</t>
  </si>
  <si>
    <t>AMB CASTRIES</t>
  </si>
  <si>
    <t>AMB KINGSTON</t>
  </si>
  <si>
    <t>AMB LA HAVANE</t>
  </si>
  <si>
    <t>AMB SAINT DOMINGUE</t>
  </si>
  <si>
    <t>AMB PORT D'ESPAGNE</t>
  </si>
  <si>
    <t>M. JACQUES MARIE</t>
  </si>
  <si>
    <t>M. BENOIT FAUCHEUX</t>
  </si>
  <si>
    <t>circoncription électorale de JOHANNESBOURG</t>
  </si>
  <si>
    <t>CGF JOHANNESBOURG</t>
  </si>
  <si>
    <t>CGF LA CAP</t>
  </si>
  <si>
    <t>AMB HARARE</t>
  </si>
  <si>
    <t>AMB GABORONE</t>
  </si>
  <si>
    <t>AMB LUSAKA</t>
  </si>
  <si>
    <t>AMB WINDHOEK</t>
  </si>
  <si>
    <t>AMB MAPUTO</t>
  </si>
  <si>
    <t>M. STEPHANE SAKOSCHEK</t>
  </si>
  <si>
    <t>MME SOPHIE FERRAND ép. HAZARD</t>
  </si>
  <si>
    <t>M. ERIC GRANRY</t>
  </si>
  <si>
    <t>CGF LE CAIRE</t>
  </si>
  <si>
    <t>CGF ALEXANDRIE</t>
  </si>
  <si>
    <t>AMB KHARTOUM</t>
  </si>
  <si>
    <t>MME RENEE BLANDIN</t>
  </si>
  <si>
    <t>MME MARIANICK URVOY</t>
  </si>
  <si>
    <t>M. FREDERIC LOMBARD</t>
  </si>
  <si>
    <t>circoncription électorale de DJIBOUTI</t>
  </si>
  <si>
    <t>CGF DJIBOUTI</t>
  </si>
  <si>
    <t>AMB ADDIS ABBEBA</t>
  </si>
  <si>
    <t>M. ANDRE MASSIDA</t>
  </si>
  <si>
    <t>M. BRUNO DELL'AQUILA</t>
  </si>
  <si>
    <t>M. JEAN MEUNIER</t>
  </si>
  <si>
    <t>M. CLAUDE VILAIN</t>
  </si>
  <si>
    <t>circoncription électorale de NOUAKCHOTT</t>
  </si>
  <si>
    <t>LISTE 1 "ROBIN/SMITH"</t>
  </si>
  <si>
    <t>LISTE 2 "AUCLAIR/BEUTHIN"</t>
  </si>
  <si>
    <t>MME BERTHE LANG ép. ROBIN</t>
  </si>
  <si>
    <t>MME CHRISTINE AUCLAIR</t>
  </si>
  <si>
    <t>circoncription électorale de NAIROBI</t>
  </si>
  <si>
    <t>AMB DAR ES SALAM</t>
  </si>
  <si>
    <t>AMB KAMPALA</t>
  </si>
  <si>
    <t>AMB BUJUMBURA</t>
  </si>
  <si>
    <t>AMB NAIROBI</t>
  </si>
  <si>
    <t>KIGALI - BUJUMBURA</t>
  </si>
  <si>
    <t>circoncription électorale de LOME</t>
  </si>
  <si>
    <t>AMB LOME</t>
  </si>
  <si>
    <t>AMB ABUJA</t>
  </si>
  <si>
    <t>AMB ACCRA</t>
  </si>
  <si>
    <t>AMB COTONOU</t>
  </si>
  <si>
    <t>CGF LAGOS</t>
  </si>
  <si>
    <t>LISTE 1- "L'Union des Français de l'Etranger (UFE)"</t>
  </si>
  <si>
    <t>LISTE 2 "Français du Monde (ADFE)"</t>
  </si>
  <si>
    <t>Votes Nuls                  ( g )</t>
  </si>
  <si>
    <t>Suffrages exprimés                      ( i - j = k )</t>
  </si>
  <si>
    <t>Votes nuls                                     ( d + g = j )</t>
  </si>
  <si>
    <t>RECAPITULATIF ALGER</t>
  </si>
  <si>
    <t>RECAPITULATIF ANNABA</t>
  </si>
  <si>
    <t>RECAPITULATIF RABAT</t>
  </si>
  <si>
    <t>RECAPITULATIF CASABLANCA</t>
  </si>
  <si>
    <t>RECAPITULATIF TUNIS</t>
  </si>
  <si>
    <t>RECAPITULATIF TANANARIVE</t>
  </si>
  <si>
    <t>RECAPITULATIF PORT LOUIS</t>
  </si>
  <si>
    <t>RECAPITULATIF DOUALA</t>
  </si>
  <si>
    <t>RECAPITULATIF DAKAR</t>
  </si>
  <si>
    <t>RECAPITULATIF BAMAKO</t>
  </si>
  <si>
    <t>RECAPITULATIF LIBREVILLE</t>
  </si>
  <si>
    <t>RECAPITULATIF TORONTO</t>
  </si>
  <si>
    <t>RECAPITULATIF MONTREAL</t>
  </si>
  <si>
    <t>RECAPITULATIF QUEBEC</t>
  </si>
  <si>
    <t>RECAPITULATIF NEW YORK</t>
  </si>
  <si>
    <t>RECAPITULATIF SAO PAULO</t>
  </si>
  <si>
    <t>RECAPITULATIF BUENOS AIRES</t>
  </si>
  <si>
    <t>RECAPITULATIF SANTIAGO</t>
  </si>
  <si>
    <t>RECAPITULATIF MEXICO</t>
  </si>
  <si>
    <t>AMB NOUAKCHOTT</t>
  </si>
  <si>
    <t>LISTE 1 "SERVIR"</t>
  </si>
  <si>
    <t>LISTE 2 "Français DU MONDE/ADFE"</t>
  </si>
  <si>
    <t>CANDIDAT 3</t>
  </si>
  <si>
    <t>M. JOEL PICHOT</t>
  </si>
  <si>
    <t>MME JOSEPHINE PANICO</t>
  </si>
  <si>
    <t>M. ALAIN SAKHO</t>
  </si>
  <si>
    <t xml:space="preserve">Liste 6 "France UNIE" </t>
  </si>
  <si>
    <t>Tunis1</t>
  </si>
  <si>
    <t>Tunis2</t>
  </si>
  <si>
    <t>Tunis3</t>
  </si>
  <si>
    <t xml:space="preserve">Bizerte </t>
  </si>
  <si>
    <t>Sfax</t>
  </si>
  <si>
    <t>Sousse</t>
  </si>
  <si>
    <t xml:space="preserve">BAMAKO - 2
</t>
  </si>
  <si>
    <t>Suffrages exprimés     
 ( c - d = e )</t>
  </si>
  <si>
    <t>Circonscription de PORT- AU- PRINCE</t>
  </si>
  <si>
    <t>19, 97</t>
  </si>
  <si>
    <t>Taux de participation en %</t>
  </si>
  <si>
    <t>1. M. Jacques JANSON (liste 7)</t>
  </si>
  <si>
    <t>2. M. Daniel BRIGNOLI (liste 1)</t>
  </si>
  <si>
    <t>3. Mme Claire-Marie JADOT (liste 7)</t>
  </si>
  <si>
    <t>1. M. François LUBRINA (liste 1)</t>
  </si>
  <si>
    <t>2. M. Georges MOSSER (liste 1)</t>
  </si>
  <si>
    <t>3. Mme Brigitte SAUVAGE (liste 7)</t>
  </si>
  <si>
    <t>4. Mme Jeanine DE FEYDEAU DE SAINT-CHRISTOPHE (liste 1)</t>
  </si>
  <si>
    <t>5. M. Franck SCEMAMA (liste 7)</t>
  </si>
  <si>
    <t>Liste 6 "Jeunes Français d'Amérique"</t>
  </si>
  <si>
    <t xml:space="preserve">1. Mme Nicole HIRSH ( liste1) </t>
  </si>
  <si>
    <t>2. Mme Christiane VOLLEAU ép. CICCONE (liste 4)</t>
  </si>
  <si>
    <t>3. M. Guy WILDENSTEIN (liste 1)</t>
  </si>
  <si>
    <t>4. M. Richard ORTOLI (liste 5)</t>
  </si>
  <si>
    <t>5. Mme Corinne NARASSIGUIN (liste 4)</t>
  </si>
  <si>
    <t>2. M. Claude GIRAULT (liste 1)</t>
  </si>
  <si>
    <t>3. M. Gérard MICHON (liste 3)</t>
  </si>
  <si>
    <t>4. M. Franck BARRAT (liste 4)</t>
  </si>
  <si>
    <t>Liste 3 "Mieux vivre au Brésil"</t>
  </si>
  <si>
    <t>Liste 1 - "Français du Monde ADFE - Canada Première Circonscription"</t>
  </si>
  <si>
    <t xml:space="preserve">Liste 2 - "Liste d'Union des Françaises et Français du Canada d'Ottawa à Vancouver Circonscriptions Consulaires de Toronto et Vancouver - Liste de Soutien aux Principes et Institutions de la République" </t>
  </si>
  <si>
    <t>Liste 3 - "Mieux Vivre au Canada - Liste de l'Alliance Solidarité des Français de l'Etranger"</t>
  </si>
  <si>
    <t>Liste 4 - "L'Avenir de la France Mondiale, C'est Vous!"</t>
  </si>
  <si>
    <t>Liste 5 - "Liste pour le Rassemblement et l'Union des Français de la Colombie Britannique à l'Ontario"</t>
  </si>
  <si>
    <t>Liste 7 - "Liste d'Union des Français du Centre et de l'Ouest du Canada, des Territoires du Nord-Ouest et du Yukon"</t>
  </si>
  <si>
    <t>Liste 1 - "Liste d'Union : Ecouter, Agir et Servir les Français du Québec et des Provinces Atlantiques avec le Président de la République et le Premier Ministre"</t>
  </si>
  <si>
    <t>Liste 2 - "Rassemblement Démocratique d'Action et de Progrès Social pour les Femmes et les Familles Françaises du Québec et de l'Est du Canada"</t>
  </si>
  <si>
    <t>Liste 3 - "Collectif pour l'Union des Forces Ecologiques et de Progrès au Service des Français du Québec et des Provinces Maritimes"</t>
  </si>
  <si>
    <t>Liste 4 - "Ensemble pour les Français du Canada"</t>
  </si>
  <si>
    <t>Liste 5 - "Bleu, Blanc, Bouge!"e</t>
  </si>
  <si>
    <t>Liste 6 - "Une nouvelle équipe pour Mieux-Vivre au Québec et Maritimes!"</t>
  </si>
  <si>
    <t>Liste 7 - "Français du Monde - ADFE (Rassemblement des Français de Gauche)"</t>
  </si>
  <si>
    <t>Liste 8 - "L'Autre Liste : Une Equipe qui Bouge!"</t>
  </si>
  <si>
    <t xml:space="preserve">Liste 1 - "Union pour un Mouvement Populaire" </t>
  </si>
  <si>
    <t>Liste 2 - "Association des Français d'Amérique"</t>
  </si>
  <si>
    <t>Liste 3 - "Rassemblement des Français des Etats-Unis"</t>
  </si>
  <si>
    <t>Liste 4 - "Français du Monde - ADFE - Proximité, Actions, Résultats pour les Français des Etats-Unis"</t>
  </si>
  <si>
    <t>Liste 5 - "L'Union au Centre"</t>
  </si>
  <si>
    <t>Liste 1 - "Rassemblement des Français de l'Ouest des Etats-Unis"</t>
  </si>
  <si>
    <t>Liste 2 - "Union des Français de l'Etranger"</t>
  </si>
  <si>
    <t>Liste 3 - "Français de l'Ouest Américain"</t>
  </si>
  <si>
    <t>Liste 4 - "Mouvement Démocrate des Français de l'Etranger"</t>
  </si>
  <si>
    <t>Liste 1 - Liste de l'Union des Français de l'Etranger"</t>
  </si>
  <si>
    <t>Liste 2 - "Français de l'Etranger, Français à part entière"</t>
  </si>
  <si>
    <t>Liste 1 - "A l'Etranger, Français d'abord, Français d'accord"</t>
  </si>
  <si>
    <t>Liste 2 - "Union des Français et Françaises du Cône Sud: Ensemble, Agir pour encore mieux vous servir."</t>
  </si>
  <si>
    <t>Liste 3 - "Français du Monde - ADFE"</t>
  </si>
  <si>
    <t>Liste 4 - "Expérience, Renouveau et Proximité"</t>
  </si>
  <si>
    <t>Liste 1 - "Français du Monde ADFE des Pays Andins"</t>
  </si>
  <si>
    <t>Liste 2 - "Union des Français de la Zone Andine"</t>
  </si>
  <si>
    <t>Liste 3 - "Ensemble, Mieux Vivre dans la Région Andine"</t>
  </si>
  <si>
    <t>Liste 4 - "ISFE - Intégration et Solidarité Pour les Français de l'Etranger"</t>
  </si>
  <si>
    <t>Liste 1 - "Français du Monde -  ADFE - Entreprenants et Solidaires"</t>
  </si>
  <si>
    <t xml:space="preserve">Liste 2 - "UFE - Union des Français de l'Etranger - Liste Officielle" </t>
  </si>
  <si>
    <t>Liste 3 - "L'Union"</t>
  </si>
  <si>
    <t>Liste 4 - "Liste Apolitique, Citoyenne, pour une Représentation  de Proximité"</t>
  </si>
  <si>
    <t>Liste 1 -"Français du Monde, Même Citoyenneté, Même Droits"</t>
  </si>
  <si>
    <t>Liste 2 - "Union des Français en Algérie"</t>
  </si>
  <si>
    <t>Liste 1 - "Communauté Française du Maroc"</t>
  </si>
  <si>
    <t>Liste 2 - "Le Maroc Tous Ensemble"</t>
  </si>
  <si>
    <t>Liste 4 - "UMP - Ecouter, Informer, Agir"</t>
  </si>
  <si>
    <t>Liste 5 - "UFE - Union des Français de l'Etranger - Maroc"</t>
  </si>
  <si>
    <t>Liste 1 - "RFTL (Rassemblement des Français de Tunisie et de Lybie)"</t>
  </si>
  <si>
    <t>Liste 2 - "Français du Monde - ADFE"</t>
  </si>
  <si>
    <t>Liste 3 - "Français de Tunisie - Agir Ensemble"</t>
  </si>
  <si>
    <t>Liste 4 - "Union des Français de l'Etranger (UFE)"</t>
  </si>
  <si>
    <t>Liste 5 - "La Diversité Française"</t>
  </si>
  <si>
    <t>Liste 6 - "Mouvement des Français de Tunisie et de Lybie"</t>
  </si>
  <si>
    <t>Liste 1 - "Français de l'Océan Indien"</t>
  </si>
  <si>
    <t>Liste 3 - "Alliance des Français de l'Océan Indien"</t>
  </si>
  <si>
    <t>Liste 4 - "Mieux Vivre Ensemble dans l'Océan Indien"</t>
  </si>
  <si>
    <t>Liste 5 - "Français du Monde - ADFE Océan Indien"</t>
  </si>
  <si>
    <t xml:space="preserve">Liste 6 - "Union des Français de l'Etranger de l'Océan Indien" </t>
  </si>
  <si>
    <t>Liste 7 - "Solidarité des Français de l'Océan Indien"</t>
  </si>
  <si>
    <t>Liste 1 - "Ensemble UMP-UFE, Français d'Afrique Centrale"</t>
  </si>
  <si>
    <t>Liste 2 - "Français du Monde - A.D.F.E."</t>
  </si>
  <si>
    <t>Liste 3 - "Au Service des Français pour l'Egalité et la Qualité de Vie en Afrique Centrale"</t>
  </si>
  <si>
    <t>Liste 4 - "Pour une Expatriation Réussie de Tous"</t>
  </si>
  <si>
    <t>Liste 5 - "UFE-UMP (Union et Solidarité des Français de l'Etranger)"</t>
  </si>
  <si>
    <t>Liste 1 - "Vivre Ensemble"</t>
  </si>
  <si>
    <t>Liste 2 - "Aucun Français n'est Seul à l'Etranger"</t>
  </si>
  <si>
    <t>Liste 3 - "Du Social, du Changement, du Concret"</t>
  </si>
  <si>
    <t>Liste 4 - "Renouveau France Afrique"</t>
  </si>
  <si>
    <t>Liste 1 - "Français du Monde-ADFE Ensemble et Solidaires"</t>
  </si>
  <si>
    <t>Liste 1 - "Français du Renouveau"</t>
  </si>
  <si>
    <t>Liste 2 - "Candidats Indépendants pour les Français de l'Etranger (C.I.F.E.) Côte d'Ivoire-Liberia"</t>
  </si>
  <si>
    <t>Liste 3 - "Français du Monde : Un Mouvement, Une Force, Une Voix"</t>
  </si>
  <si>
    <t>Liste 4  - "UMP C.I. Ensemble Agissons"</t>
  </si>
  <si>
    <t>Liste 5 - "UFE Liste de l'Union des Français de l'Etranger"</t>
  </si>
  <si>
    <t>Liste 6 - "Français en Afrique FEA"</t>
  </si>
  <si>
    <t>Liste 1 - "Ensemble pour Servir"</t>
  </si>
  <si>
    <t>Liste 2 - "Français du Monde-ADFE, Français à Part Entière"</t>
  </si>
  <si>
    <t>Liste 3 - "U.F.E/A.F.G"</t>
  </si>
  <si>
    <t>Liste 1 - "Français du Monde - ADFE"</t>
  </si>
  <si>
    <t>Liste 2 - "UFE (Union des Français de l'Etranger)"</t>
  </si>
  <si>
    <t>MME CLAIRE MEYER Vve DURAND</t>
  </si>
  <si>
    <t>MME FRANCOISE DUVAL ép. MENSAH</t>
  </si>
  <si>
    <t>1. Mme Françoise GONZALES, ép. LINDEMANN (liste 1)</t>
  </si>
  <si>
    <t>2. M. Denis VIALA (liste 1)</t>
  </si>
  <si>
    <t>3. M. Bertrand RIGOT-MULLER (liste 2)</t>
  </si>
  <si>
    <t>1. Mme Michèle GOUPIL (liste 2)</t>
  </si>
  <si>
    <t>2. Mme Marie-Christine HARITCALDE, ép. DALGALARRANDO (liste 4)</t>
  </si>
  <si>
    <t>3. M. Marc JAMIN (liste 3)</t>
  </si>
  <si>
    <t>1. M. Gabriel LAFAVERGE (liste 2)</t>
  </si>
  <si>
    <t>2. M. Joël DOGLIONI (liste 2)</t>
  </si>
  <si>
    <t>3. Mme Brigitte SAIZ, ép. ORUE (liste 1)</t>
  </si>
  <si>
    <t>1. Mme Geneviève BERAUD, ép. SUBERVILLE (liste 3)</t>
  </si>
  <si>
    <t>2. Mme Marie-Hélène LUCAS, ép. PONTVIANNE (liste 3)</t>
  </si>
  <si>
    <t>3. M. Gérard SIGNORET (liste 2)</t>
  </si>
  <si>
    <t>1. M. Karim DENDENE (liste 2)</t>
  </si>
  <si>
    <t>2. M. Jean DONET (liste 2)</t>
  </si>
  <si>
    <t>3. M. Fwad HASNAOUI (liste 1)</t>
  </si>
  <si>
    <t>4. Mlle Radya RAHAL (liste 2)</t>
  </si>
  <si>
    <t>1. M. Guy SAVERY (liste 5)</t>
  </si>
  <si>
    <t>2. Mme Bérangère EL ANBASSI (liste 3)</t>
  </si>
  <si>
    <t>3. M. Wladimir CHOSTAKOFF (liste 1)</t>
  </si>
  <si>
    <t>4. M. Gilles D'AGESCY (liste 5)</t>
  </si>
  <si>
    <t>5. M. Thierry PLANTEVIN (liste 4)</t>
  </si>
  <si>
    <t>1. Mme Madeleine BERGER, ép. BEN NACEUR (liste 4)</t>
  </si>
  <si>
    <t>2. Mme Martine VAUTRIN, ép. DJEDIDI (liste 2)</t>
  </si>
  <si>
    <t>3. Mme Gloria GIOL, ép. JERIBI (liste 3)</t>
  </si>
  <si>
    <t>1. M. Xavier DESPLANQUES (liste 1)</t>
  </si>
  <si>
    <t>2. M. Michel DUCAUD (liste 2)</t>
  </si>
  <si>
    <t>3. Mme Marie GIRAUD, ép. MALIVEL (liste 4)</t>
  </si>
  <si>
    <t>4. M. Jean-Daniel CHAOUI (liste 5)</t>
  </si>
  <si>
    <t>1. M. Bernard ZIPFEL (liste 1)</t>
  </si>
  <si>
    <t>2. Mme Anne PAVLOPOULOS, veuve ANGO ELA (liste 2)</t>
  </si>
  <si>
    <t>3. M. Yvon OMNES (liste 5)</t>
  </si>
  <si>
    <t>4. M. Jean LIBOZ (liste 1)</t>
  </si>
  <si>
    <t>1. M. Richard ALVAREZ (liste 1)</t>
  </si>
  <si>
    <t>2. M. François CHAPPELLET (liste 4)</t>
  </si>
  <si>
    <t>3. M. Hassan BAHSOUN (liste 1)</t>
  </si>
  <si>
    <t>4. M. Jean-Charles PRETET (liste 3)</t>
  </si>
  <si>
    <t>1. Mme Marie-Hélène LAMOURE, veuve BEYE (liste 1)</t>
  </si>
  <si>
    <t>2. M. Didier RICCI (liste 2)</t>
  </si>
  <si>
    <t>3. M. Daniel GRANIER (liste 1)</t>
  </si>
  <si>
    <t>1. Mme Catherine GARCIA, ép. RECHENMANN (liste 5)</t>
  </si>
  <si>
    <t>2. M. Michel TIZON (liste 2)</t>
  </si>
  <si>
    <t>3. M. Bernard SADET (liste 1)</t>
  </si>
  <si>
    <t>4. M. Jean CONTI (liste 5)</t>
  </si>
  <si>
    <t>2. M. Georges SEILHAN (liste 2)</t>
  </si>
  <si>
    <t>1. M. Norbert CHALON (liste 3)</t>
  </si>
  <si>
    <t>3. Mme Joëlle CHEVALIER, ép. VALERI (liste 1)</t>
  </si>
  <si>
    <t>1. Mme Souad CAMARA, ép. KATENDE (liste 2)</t>
  </si>
  <si>
    <t>3. M. Gérard TOUPY (liste 2)</t>
  </si>
  <si>
    <t>M. Damien REGNARD</t>
  </si>
  <si>
    <t>Est déclaré élu :</t>
  </si>
  <si>
    <t>1. Mme Renée BLANDIN (liste 1)</t>
  </si>
  <si>
    <t>2. Mme Régine PRATO (liste 1)</t>
  </si>
  <si>
    <t>1. Mme Christine AUCLAIR (liste 2)</t>
  </si>
  <si>
    <t>Mme Alexandra NOYALET, ép. BEUTHIN</t>
  </si>
  <si>
    <t>2. Mme Alexandra NOYALET, ép. BEUTHIN (liste 2)</t>
  </si>
  <si>
    <t xml:space="preserve"> M. Joël PICHOT (candidat 1)</t>
  </si>
  <si>
    <t>1. Mme Françoise DUVAL, ép. MENSAH (liste 2)</t>
  </si>
  <si>
    <t>2. Mme Anne BRUNET-APITHY (liste 2)</t>
  </si>
  <si>
    <t>Sont déclarées élues :</t>
  </si>
  <si>
    <t>1. M. André MASSIDA (candidat 1)</t>
  </si>
  <si>
    <t>2. M. M. Bruno DELL'AQUILA (candidat 2)</t>
  </si>
  <si>
    <t>M. Jacques MARIE (candidat 1)</t>
  </si>
  <si>
    <t>M. Marc BILLON (candidat 2)</t>
  </si>
  <si>
    <t>Scrutin majoritaire</t>
  </si>
  <si>
    <t>Scrutin proportionnel</t>
  </si>
  <si>
    <t>Inscrits au 28-02-09</t>
  </si>
  <si>
    <t>Mme Régine PRATO</t>
  </si>
  <si>
    <t>M. Bruno NEYRET</t>
  </si>
  <si>
    <t>Mme Julie APTEL, ép. SMITH</t>
  </si>
  <si>
    <t>M. Luc DORSO</t>
  </si>
  <si>
    <t>Mme Anne BRUNET-APITHY</t>
  </si>
  <si>
    <t>circoncription électorale du CAIRE</t>
  </si>
  <si>
    <t>Votes nuls 
( d )</t>
  </si>
  <si>
    <t>1. M. Jean-Claude ZAMBELLI (liste 2)</t>
  </si>
  <si>
    <t>Mme Sophie FERRAND, ép. HAZARD (candidate 2)</t>
  </si>
  <si>
    <t>2. Mme Marlène BACH, ép. AFOULATSAN (liste 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</si>
</sst>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_-* #,##0.00\ &quot;F&quot;_-;\-* #,##0.00\ &quot;F&quot;_-;_-* &quot;-&quot;??\ &quot;F&quot;_-;_-@_-"/>
    <numFmt numFmtId="167" formatCode="_-* #,##0\ &quot;F&quot;_-;\-* #,##0\ &quot;F&quot;_-;_-* &quot;-&quot;\ &quot;F&quot;_-;_-@_-"/>
  </numFmts>
  <fonts count="22">
    <font>
      <sz val="10"/>
      <name val="Arial"/>
      <family val="0"/>
    </font>
    <font>
      <u val="single"/>
      <sz val="10"/>
      <color indexed="12"/>
      <name val="Arial"/>
      <family val="0"/>
    </font>
    <font>
      <u val="single"/>
      <sz val="10"/>
      <color indexed="36"/>
      <name val="Arial"/>
      <family val="0"/>
    </font>
    <font>
      <b/>
      <sz val="10"/>
      <name val="Arial"/>
      <family val="2"/>
    </font>
    <font>
      <sz val="10"/>
      <name val="Verdana"/>
      <family val="0"/>
    </font>
    <font>
      <b/>
      <sz val="9"/>
      <name val="Bookman Old Style"/>
      <family val="1"/>
    </font>
    <font>
      <sz val="9"/>
      <name val="Bookman Old Style"/>
      <family val="1"/>
    </font>
    <font>
      <b/>
      <sz val="10"/>
      <name val="Bookman Old Style"/>
      <family val="1"/>
    </font>
    <font>
      <sz val="8"/>
      <name val="Bookman Old Style"/>
      <family val="1"/>
    </font>
    <font>
      <sz val="10"/>
      <name val="Bookman Old Style"/>
      <family val="1"/>
    </font>
    <font>
      <b/>
      <i/>
      <sz val="10"/>
      <name val="Arial"/>
      <family val="2"/>
    </font>
    <font>
      <b/>
      <sz val="10"/>
      <color indexed="10"/>
      <name val="Bookman Old Style"/>
      <family val="1"/>
    </font>
    <font>
      <sz val="10"/>
      <color indexed="10"/>
      <name val="Arial"/>
      <family val="2"/>
    </font>
    <font>
      <i/>
      <sz val="10"/>
      <name val="Arial"/>
      <family val="2"/>
    </font>
    <font>
      <sz val="8"/>
      <name val="Tahoma"/>
      <family val="0"/>
    </font>
    <font>
      <b/>
      <sz val="8"/>
      <name val="Tahoma"/>
      <family val="0"/>
    </font>
    <font>
      <sz val="12"/>
      <name val="Arial"/>
      <family val="2"/>
    </font>
    <font>
      <b/>
      <sz val="12"/>
      <name val="Arial"/>
      <family val="2"/>
    </font>
    <font>
      <sz val="10"/>
      <color indexed="8"/>
      <name val="Arial"/>
      <family val="2"/>
    </font>
    <font>
      <b/>
      <sz val="14"/>
      <name val="Bookman Old Style"/>
      <family val="1"/>
    </font>
    <font>
      <sz val="10"/>
      <color indexed="10"/>
      <name val="Bookman Old Style"/>
      <family val="1"/>
    </font>
    <font>
      <b/>
      <sz val="8"/>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indexed="42"/>
        <bgColor indexed="64"/>
      </patternFill>
    </fill>
  </fills>
  <borders count="52">
    <border>
      <left/>
      <right/>
      <top/>
      <bottom/>
      <diagonal/>
    </border>
    <border>
      <left style="thin"/>
      <right style="thin"/>
      <top style="thin"/>
      <bottom style="thin"/>
    </border>
    <border>
      <left style="double"/>
      <right style="thin"/>
      <top style="thin"/>
      <bottom style="thin"/>
    </border>
    <border>
      <left style="thin"/>
      <right style="double"/>
      <top style="thin"/>
      <bottom style="thin"/>
    </border>
    <border>
      <left style="thin"/>
      <right style="thin"/>
      <top style="thin"/>
      <bottom style="double"/>
    </border>
    <border>
      <left>
        <color indexed="63"/>
      </left>
      <right>
        <color indexed="63"/>
      </right>
      <top style="double"/>
      <bottom>
        <color indexed="63"/>
      </bottom>
    </border>
    <border>
      <left>
        <color indexed="63"/>
      </left>
      <right>
        <color indexed="63"/>
      </right>
      <top style="double"/>
      <bottom style="thin"/>
    </border>
    <border>
      <left>
        <color indexed="63"/>
      </left>
      <right style="double"/>
      <top style="double"/>
      <bottom style="thin"/>
    </border>
    <border>
      <left style="thin"/>
      <right>
        <color indexed="63"/>
      </right>
      <top style="thin"/>
      <bottom style="thin"/>
    </border>
    <border>
      <left style="thin"/>
      <right style="double"/>
      <top style="thin"/>
      <bottom style="double"/>
    </border>
    <border>
      <left style="thick"/>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ck"/>
      <top>
        <color indexed="63"/>
      </top>
      <bottom style="thin"/>
    </border>
    <border>
      <left style="thick"/>
      <right style="thin"/>
      <top style="thin"/>
      <bottom style="thin"/>
    </border>
    <border>
      <left style="thin"/>
      <right style="thick"/>
      <top style="thin"/>
      <bottom style="thin"/>
    </border>
    <border>
      <left style="double"/>
      <right>
        <color indexed="63"/>
      </right>
      <top style="double"/>
      <bottom style="thin"/>
    </border>
    <border>
      <left style="double"/>
      <right style="thin"/>
      <top style="thin"/>
      <bottom>
        <color indexed="63"/>
      </bottom>
    </border>
    <border>
      <left style="thin"/>
      <right style="thin"/>
      <top style="thin"/>
      <bottom>
        <color indexed="63"/>
      </bottom>
    </border>
    <border>
      <left style="thin"/>
      <right>
        <color indexed="63"/>
      </right>
      <top style="thin"/>
      <bottom style="double"/>
    </border>
    <border>
      <left style="thick"/>
      <right style="thin"/>
      <top>
        <color indexed="63"/>
      </top>
      <bottom style="thin"/>
    </border>
    <border>
      <left>
        <color indexed="63"/>
      </left>
      <right style="thin"/>
      <top style="thin"/>
      <bottom style="thin"/>
    </border>
    <border>
      <left>
        <color indexed="63"/>
      </left>
      <right>
        <color indexed="63"/>
      </right>
      <top style="thin"/>
      <bottom style="thin"/>
    </border>
    <border>
      <left style="thick"/>
      <right>
        <color indexed="63"/>
      </right>
      <top style="thin"/>
      <bottom style="thin"/>
    </border>
    <border>
      <left style="thin"/>
      <right style="thin"/>
      <top style="thin"/>
      <bottom style="thick"/>
    </border>
    <border>
      <left style="thin"/>
      <right style="thick"/>
      <top style="thin"/>
      <bottom style="thick"/>
    </border>
    <border>
      <left>
        <color indexed="63"/>
      </left>
      <right style="double"/>
      <top style="double"/>
      <bottom>
        <color indexed="63"/>
      </bottom>
    </border>
    <border>
      <left style="thick"/>
      <right style="thin"/>
      <top style="thin"/>
      <bottom style="thick"/>
    </border>
    <border>
      <left style="double"/>
      <right>
        <color indexed="63"/>
      </right>
      <top style="thin"/>
      <bottom style="thin"/>
    </border>
    <border>
      <left>
        <color indexed="63"/>
      </left>
      <right>
        <color indexed="63"/>
      </right>
      <top style="thin"/>
      <bottom>
        <color indexed="63"/>
      </bottom>
    </border>
    <border>
      <left>
        <color indexed="63"/>
      </left>
      <right style="double"/>
      <top style="thin"/>
      <bottom style="thin"/>
    </border>
    <border>
      <left style="double"/>
      <right style="thin"/>
      <top style="thin"/>
      <bottom style="double"/>
    </border>
    <border>
      <left>
        <color indexed="63"/>
      </left>
      <right style="thin"/>
      <top style="thin"/>
      <bottom style="double"/>
    </border>
    <border>
      <left style="double"/>
      <right style="thin"/>
      <top style="double"/>
      <bottom style="thin"/>
    </border>
    <border>
      <left style="thin"/>
      <right style="thick"/>
      <top style="thick"/>
      <bottom>
        <color indexed="63"/>
      </bottom>
    </border>
    <border>
      <left style="thick"/>
      <right style="thin"/>
      <top style="thick"/>
      <bottom style="medium"/>
    </border>
    <border>
      <left style="thin"/>
      <right style="thin"/>
      <top style="thick"/>
      <bottom style="medium"/>
    </border>
    <border>
      <left style="thin"/>
      <right style="thick"/>
      <top style="thick"/>
      <bottom style="medium"/>
    </border>
    <border>
      <left>
        <color indexed="63"/>
      </left>
      <right style="thin"/>
      <top style="thick"/>
      <bottom>
        <color indexed="63"/>
      </bottom>
    </border>
    <border>
      <left>
        <color indexed="63"/>
      </left>
      <right style="thin"/>
      <top>
        <color indexed="63"/>
      </top>
      <bottom style="thin"/>
    </border>
    <border>
      <left style="thin"/>
      <right>
        <color indexed="63"/>
      </right>
      <top style="double"/>
      <bottom>
        <color indexed="63"/>
      </bottom>
    </border>
    <border>
      <left style="thin"/>
      <right>
        <color indexed="63"/>
      </right>
      <top>
        <color indexed="63"/>
      </top>
      <bottom style="thin"/>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n"/>
      <right style="thin"/>
      <top style="thick"/>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344">
    <xf numFmtId="0" fontId="0" fillId="0" borderId="0" xfId="0" applyAlignment="1">
      <alignment/>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xf>
    <xf numFmtId="3" fontId="8" fillId="0" borderId="3" xfId="0" applyNumberFormat="1" applyFont="1" applyBorder="1" applyAlignment="1">
      <alignment horizontal="center" vertical="center"/>
    </xf>
    <xf numFmtId="0" fontId="9" fillId="0" borderId="2" xfId="0" applyFont="1" applyBorder="1" applyAlignment="1">
      <alignment horizontal="left" vertical="center"/>
    </xf>
    <xf numFmtId="0" fontId="9" fillId="0" borderId="1" xfId="0" applyFont="1" applyBorder="1" applyAlignment="1">
      <alignment horizontal="left" vertical="center"/>
    </xf>
    <xf numFmtId="3" fontId="9" fillId="0" borderId="1" xfId="0" applyNumberFormat="1" applyFont="1" applyBorder="1" applyAlignment="1">
      <alignment vertical="center"/>
    </xf>
    <xf numFmtId="3" fontId="9" fillId="0" borderId="1" xfId="0" applyNumberFormat="1" applyFont="1" applyBorder="1" applyAlignment="1">
      <alignment horizontal="right" vertical="center"/>
    </xf>
    <xf numFmtId="3" fontId="7" fillId="2" borderId="4" xfId="0" applyNumberFormat="1" applyFont="1" applyFill="1" applyBorder="1" applyAlignment="1">
      <alignment vertical="center"/>
    </xf>
    <xf numFmtId="3" fontId="7" fillId="2" borderId="4" xfId="0" applyNumberFormat="1" applyFont="1" applyFill="1" applyBorder="1" applyAlignment="1">
      <alignment horizontal="right" vertical="center"/>
    </xf>
    <xf numFmtId="3" fontId="9" fillId="0" borderId="0" xfId="0" applyNumberFormat="1" applyFont="1" applyFill="1" applyBorder="1" applyAlignment="1">
      <alignment horizontal="left" vertical="center"/>
    </xf>
    <xf numFmtId="3" fontId="9"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3" fontId="9" fillId="0" borderId="5" xfId="0" applyNumberFormat="1" applyFont="1" applyFill="1" applyBorder="1" applyAlignment="1">
      <alignment horizontal="left" vertical="center"/>
    </xf>
    <xf numFmtId="0" fontId="9" fillId="0" borderId="0" xfId="0" applyFont="1" applyAlignment="1">
      <alignment horizontal="left"/>
    </xf>
    <xf numFmtId="0" fontId="7" fillId="0" borderId="0" xfId="0" applyFont="1" applyBorder="1" applyAlignment="1">
      <alignment horizontal="left"/>
    </xf>
    <xf numFmtId="0" fontId="9" fillId="0" borderId="0" xfId="0" applyFont="1" applyBorder="1" applyAlignment="1">
      <alignment horizontal="left"/>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0" borderId="5" xfId="0" applyFont="1" applyBorder="1" applyAlignment="1">
      <alignment horizontal="left"/>
    </xf>
    <xf numFmtId="0" fontId="9" fillId="0" borderId="5" xfId="0" applyFont="1" applyBorder="1" applyAlignment="1">
      <alignment horizontal="left"/>
    </xf>
    <xf numFmtId="0" fontId="9" fillId="0" borderId="0" xfId="0" applyFont="1" applyAlignment="1">
      <alignment/>
    </xf>
    <xf numFmtId="0" fontId="6" fillId="0" borderId="0" xfId="0" applyFont="1" applyAlignment="1">
      <alignment horizontal="left"/>
    </xf>
    <xf numFmtId="3" fontId="8" fillId="0" borderId="8" xfId="0" applyNumberFormat="1" applyFont="1" applyBorder="1" applyAlignment="1">
      <alignment horizontal="center" vertical="center" wrapText="1"/>
    </xf>
    <xf numFmtId="3" fontId="9" fillId="0" borderId="1" xfId="0" applyNumberFormat="1" applyFont="1" applyBorder="1" applyAlignment="1">
      <alignment horizontal="center" vertical="center"/>
    </xf>
    <xf numFmtId="10" fontId="7" fillId="2" borderId="4" xfId="0" applyNumberFormat="1" applyFont="1" applyFill="1" applyBorder="1" applyAlignment="1">
      <alignment vertical="center"/>
    </xf>
    <xf numFmtId="10" fontId="7" fillId="2" borderId="9" xfId="0" applyNumberFormat="1" applyFont="1" applyFill="1" applyBorder="1" applyAlignment="1">
      <alignment vertical="center"/>
    </xf>
    <xf numFmtId="0" fontId="0" fillId="3" borderId="1" xfId="0" applyFont="1" applyFill="1" applyBorder="1" applyAlignment="1">
      <alignment horizontal="left" vertical="center" wrapText="1"/>
    </xf>
    <xf numFmtId="0" fontId="3" fillId="4" borderId="1" xfId="0" applyFont="1" applyFill="1" applyBorder="1" applyAlignment="1">
      <alignment horizontal="center" vertical="center"/>
    </xf>
    <xf numFmtId="0" fontId="0" fillId="3" borderId="8" xfId="0" applyFont="1" applyFill="1" applyBorder="1" applyAlignment="1">
      <alignment horizontal="center" vertical="center" wrapText="1"/>
    </xf>
    <xf numFmtId="3" fontId="3" fillId="3" borderId="1" xfId="0" applyNumberFormat="1" applyFont="1" applyFill="1" applyBorder="1" applyAlignment="1">
      <alignment horizontal="center" vertical="center"/>
    </xf>
    <xf numFmtId="0" fontId="0" fillId="0" borderId="0" xfId="0" applyFont="1" applyAlignment="1">
      <alignment vertical="center"/>
    </xf>
    <xf numFmtId="0" fontId="0" fillId="3" borderId="1" xfId="0" applyFont="1" applyFill="1" applyBorder="1" applyAlignment="1">
      <alignment vertical="center"/>
    </xf>
    <xf numFmtId="0" fontId="3"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8" xfId="21" applyFont="1" applyFill="1" applyBorder="1" applyAlignment="1">
      <alignment horizontal="center" vertical="center" wrapText="1"/>
      <protection/>
    </xf>
    <xf numFmtId="0" fontId="0" fillId="3" borderId="0" xfId="0" applyFont="1" applyFill="1" applyAlignment="1">
      <alignment vertical="center"/>
    </xf>
    <xf numFmtId="0" fontId="0" fillId="3" borderId="8" xfId="0" applyFont="1" applyFill="1" applyBorder="1" applyAlignment="1">
      <alignment horizontal="center" vertical="center"/>
    </xf>
    <xf numFmtId="0" fontId="0" fillId="0" borderId="1" xfId="0" applyFont="1" applyBorder="1" applyAlignment="1">
      <alignment vertical="center"/>
    </xf>
    <xf numFmtId="0" fontId="0" fillId="5" borderId="1" xfId="0" applyFont="1" applyFill="1" applyBorder="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3" borderId="8" xfId="0" applyFont="1" applyFill="1" applyBorder="1" applyAlignment="1">
      <alignment horizontal="center" vertical="center"/>
    </xf>
    <xf numFmtId="0" fontId="10" fillId="6" borderId="1" xfId="0" applyFont="1" applyFill="1" applyBorder="1" applyAlignment="1">
      <alignment horizontal="center" vertical="center"/>
    </xf>
    <xf numFmtId="0" fontId="3" fillId="4" borderId="8" xfId="0" applyFont="1" applyFill="1" applyBorder="1" applyAlignment="1">
      <alignment horizontal="center" vertical="center"/>
    </xf>
    <xf numFmtId="0" fontId="3" fillId="3" borderId="8" xfId="0"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10" fontId="7" fillId="2" borderId="4" xfId="0" applyNumberFormat="1" applyFont="1" applyFill="1" applyBorder="1" applyAlignment="1">
      <alignment horizontal="center" vertical="center" wrapText="1"/>
    </xf>
    <xf numFmtId="3" fontId="8" fillId="0" borderId="3" xfId="0" applyNumberFormat="1" applyFont="1" applyBorder="1" applyAlignment="1">
      <alignment horizontal="center" vertical="center" wrapText="1"/>
    </xf>
    <xf numFmtId="10" fontId="9" fillId="0" borderId="3" xfId="0" applyNumberFormat="1" applyFont="1" applyFill="1" applyBorder="1" applyAlignment="1">
      <alignment horizontal="center" vertical="center" wrapText="1"/>
    </xf>
    <xf numFmtId="10" fontId="7" fillId="2" borderId="9"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6" xfId="0" applyFont="1" applyBorder="1" applyAlignment="1">
      <alignment horizontal="left" vertical="center"/>
    </xf>
    <xf numFmtId="0" fontId="7" fillId="0" borderId="0" xfId="0" applyFont="1" applyFill="1" applyBorder="1" applyAlignment="1">
      <alignment horizontal="left" vertical="center" wrapText="1"/>
    </xf>
    <xf numFmtId="0" fontId="9" fillId="7" borderId="0" xfId="0" applyFont="1" applyFill="1" applyBorder="1" applyAlignment="1">
      <alignment horizontal="left"/>
    </xf>
    <xf numFmtId="0" fontId="7" fillId="0" borderId="6"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10" fontId="9" fillId="0" borderId="1" xfId="0" applyNumberFormat="1" applyFont="1" applyBorder="1" applyAlignment="1">
      <alignment horizontal="center" vertical="center"/>
    </xf>
    <xf numFmtId="0" fontId="9" fillId="0" borderId="1" xfId="0" applyNumberFormat="1" applyFont="1" applyBorder="1" applyAlignment="1">
      <alignment horizontal="center" vertical="center"/>
    </xf>
    <xf numFmtId="10" fontId="9" fillId="0" borderId="3" xfId="0" applyNumberFormat="1" applyFont="1" applyBorder="1" applyAlignment="1">
      <alignment horizontal="center" vertical="center"/>
    </xf>
    <xf numFmtId="3" fontId="7" fillId="2" borderId="19" xfId="0" applyNumberFormat="1" applyFont="1" applyFill="1" applyBorder="1" applyAlignment="1">
      <alignment horizontal="center" vertical="center"/>
    </xf>
    <xf numFmtId="0" fontId="3" fillId="3" borderId="8" xfId="21" applyFont="1" applyFill="1" applyBorder="1" applyAlignment="1">
      <alignment horizontal="center" vertical="center" wrapText="1"/>
      <protection/>
    </xf>
    <xf numFmtId="0" fontId="3" fillId="2" borderId="20" xfId="0" applyFont="1" applyFill="1" applyBorder="1" applyAlignment="1">
      <alignment horizontal="center" vertical="center" wrapText="1"/>
    </xf>
    <xf numFmtId="0" fontId="3" fillId="3" borderId="0" xfId="0" applyFont="1" applyFill="1" applyAlignment="1">
      <alignment vertical="center"/>
    </xf>
    <xf numFmtId="0" fontId="10" fillId="3" borderId="0" xfId="0" applyFont="1" applyFill="1" applyAlignment="1">
      <alignment vertical="center"/>
    </xf>
    <xf numFmtId="0" fontId="10" fillId="6" borderId="8" xfId="0" applyFont="1" applyFill="1" applyBorder="1" applyAlignment="1">
      <alignment horizontal="center" vertical="center"/>
    </xf>
    <xf numFmtId="0" fontId="10" fillId="3" borderId="0" xfId="0" applyFont="1" applyFill="1" applyAlignment="1">
      <alignment horizontal="center" vertical="center"/>
    </xf>
    <xf numFmtId="10" fontId="3" fillId="5" borderId="15" xfId="0" applyNumberFormat="1" applyFont="1" applyFill="1" applyBorder="1" applyAlignment="1">
      <alignment horizontal="center" vertical="center"/>
    </xf>
    <xf numFmtId="10" fontId="3" fillId="3" borderId="15" xfId="0" applyNumberFormat="1" applyFont="1" applyFill="1" applyBorder="1" applyAlignment="1">
      <alignment horizontal="center" vertical="center"/>
    </xf>
    <xf numFmtId="10" fontId="0" fillId="3" borderId="15" xfId="0" applyNumberFormat="1" applyFont="1" applyFill="1" applyBorder="1" applyAlignment="1">
      <alignment vertical="center"/>
    </xf>
    <xf numFmtId="10" fontId="10" fillId="6" borderId="1" xfId="0" applyNumberFormat="1" applyFont="1" applyFill="1" applyBorder="1" applyAlignment="1">
      <alignment horizontal="center" vertical="center"/>
    </xf>
    <xf numFmtId="10" fontId="3" fillId="4" borderId="1" xfId="0" applyNumberFormat="1" applyFont="1" applyFill="1" applyBorder="1" applyAlignment="1">
      <alignment horizontal="center" vertical="center"/>
    </xf>
    <xf numFmtId="10" fontId="3" fillId="5" borderId="1" xfId="0" applyNumberFormat="1" applyFont="1" applyFill="1" applyBorder="1" applyAlignment="1">
      <alignment horizontal="center" vertical="center"/>
    </xf>
    <xf numFmtId="10" fontId="0" fillId="0" borderId="0" xfId="0" applyNumberFormat="1" applyFont="1" applyAlignment="1">
      <alignment vertical="center"/>
    </xf>
    <xf numFmtId="10" fontId="0" fillId="3" borderId="15" xfId="0" applyNumberFormat="1" applyFont="1" applyFill="1" applyBorder="1" applyAlignment="1">
      <alignment horizontal="right" vertical="center"/>
    </xf>
    <xf numFmtId="10" fontId="0" fillId="3" borderId="1" xfId="21" applyNumberFormat="1" applyFont="1" applyFill="1" applyBorder="1" applyAlignment="1">
      <alignment horizontal="right" vertical="center" wrapText="1"/>
      <protection/>
    </xf>
    <xf numFmtId="10" fontId="3" fillId="3" borderId="15" xfId="0" applyNumberFormat="1" applyFont="1" applyFill="1" applyBorder="1" applyAlignment="1">
      <alignment horizontal="right" vertical="center"/>
    </xf>
    <xf numFmtId="0" fontId="9" fillId="0" borderId="1" xfId="0" applyFont="1" applyFill="1" applyBorder="1" applyAlignment="1">
      <alignment horizontal="right" vertical="center" wrapText="1"/>
    </xf>
    <xf numFmtId="10" fontId="7" fillId="2" borderId="4" xfId="0" applyNumberFormat="1" applyFont="1" applyFill="1" applyBorder="1" applyAlignment="1">
      <alignment horizontal="center" vertical="center"/>
    </xf>
    <xf numFmtId="10" fontId="7" fillId="2" borderId="9" xfId="0" applyNumberFormat="1" applyFont="1" applyFill="1" applyBorder="1" applyAlignment="1">
      <alignment horizontal="center" vertical="center"/>
    </xf>
    <xf numFmtId="0" fontId="3" fillId="5" borderId="21" xfId="0" applyFont="1" applyFill="1" applyBorder="1" applyAlignment="1">
      <alignment horizontal="center" vertical="center"/>
    </xf>
    <xf numFmtId="3" fontId="3" fillId="3" borderId="21" xfId="0" applyNumberFormat="1" applyFont="1" applyFill="1" applyBorder="1" applyAlignment="1">
      <alignment horizontal="center" vertical="center"/>
    </xf>
    <xf numFmtId="0" fontId="11" fillId="0" borderId="0" xfId="0" applyFont="1" applyBorder="1" applyAlignment="1">
      <alignment horizontal="left"/>
    </xf>
    <xf numFmtId="0" fontId="10" fillId="6" borderId="0" xfId="0" applyFont="1" applyFill="1" applyAlignment="1">
      <alignment vertical="center"/>
    </xf>
    <xf numFmtId="0" fontId="12" fillId="3" borderId="0" xfId="0" applyFont="1" applyFill="1" applyAlignment="1">
      <alignment vertical="center"/>
    </xf>
    <xf numFmtId="0" fontId="12" fillId="0" borderId="0" xfId="0" applyFont="1" applyAlignment="1">
      <alignment vertical="center"/>
    </xf>
    <xf numFmtId="10" fontId="7" fillId="2" borderId="1" xfId="0" applyNumberFormat="1" applyFont="1" applyFill="1" applyBorder="1" applyAlignment="1">
      <alignment horizontal="center" vertical="center" wrapText="1"/>
    </xf>
    <xf numFmtId="10" fontId="7" fillId="2" borderId="3" xfId="0" applyNumberFormat="1" applyFont="1" applyFill="1" applyBorder="1" applyAlignment="1">
      <alignment horizontal="center" vertical="center" wrapText="1"/>
    </xf>
    <xf numFmtId="0" fontId="7" fillId="0" borderId="5" xfId="0" applyFont="1" applyBorder="1" applyAlignment="1">
      <alignment horizontal="left"/>
    </xf>
    <xf numFmtId="10" fontId="0" fillId="0" borderId="15" xfId="0" applyNumberFormat="1" applyFont="1" applyFill="1" applyBorder="1" applyAlignment="1">
      <alignment vertical="center"/>
    </xf>
    <xf numFmtId="3" fontId="3" fillId="0" borderId="1"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3" fontId="0" fillId="3" borderId="1" xfId="0" applyNumberFormat="1" applyFont="1" applyFill="1" applyBorder="1" applyAlignment="1">
      <alignment horizontal="center" vertical="center"/>
    </xf>
    <xf numFmtId="3" fontId="3" fillId="3" borderId="14" xfId="0" applyNumberFormat="1" applyFont="1" applyFill="1" applyBorder="1" applyAlignment="1">
      <alignment horizontal="center" vertical="center"/>
    </xf>
    <xf numFmtId="3" fontId="3" fillId="3" borderId="15" xfId="0" applyNumberFormat="1" applyFont="1" applyFill="1" applyBorder="1" applyAlignment="1">
      <alignment horizontal="center" vertical="center"/>
    </xf>
    <xf numFmtId="3" fontId="0" fillId="3" borderId="14" xfId="0" applyNumberFormat="1"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3" fontId="0" fillId="3" borderId="15" xfId="0" applyNumberFormat="1" applyFont="1" applyFill="1" applyBorder="1" applyAlignment="1">
      <alignment horizontal="center" vertical="center" wrapText="1"/>
    </xf>
    <xf numFmtId="3" fontId="0" fillId="3" borderId="1" xfId="21" applyNumberFormat="1" applyFont="1" applyFill="1" applyBorder="1" applyAlignment="1">
      <alignment horizontal="center" vertical="center" wrapText="1"/>
      <protection/>
    </xf>
    <xf numFmtId="3" fontId="0" fillId="0" borderId="21" xfId="0" applyNumberFormat="1" applyFont="1" applyFill="1" applyBorder="1" applyAlignment="1">
      <alignment horizontal="center" vertical="center"/>
    </xf>
    <xf numFmtId="3" fontId="0" fillId="3" borderId="14" xfId="21" applyNumberFormat="1" applyFont="1" applyFill="1" applyBorder="1" applyAlignment="1">
      <alignment horizontal="center" vertical="center" wrapText="1"/>
      <protection/>
    </xf>
    <xf numFmtId="3" fontId="0" fillId="0" borderId="21" xfId="0" applyNumberFormat="1" applyFont="1" applyBorder="1" applyAlignment="1">
      <alignment horizontal="center" vertical="center"/>
    </xf>
    <xf numFmtId="3" fontId="10" fillId="6" borderId="14" xfId="0" applyNumberFormat="1" applyFont="1" applyFill="1" applyBorder="1" applyAlignment="1">
      <alignment horizontal="center" vertical="center"/>
    </xf>
    <xf numFmtId="3" fontId="10" fillId="6" borderId="1" xfId="0" applyNumberFormat="1" applyFont="1" applyFill="1" applyBorder="1" applyAlignment="1">
      <alignment horizontal="center" vertical="center"/>
    </xf>
    <xf numFmtId="3" fontId="10" fillId="6" borderId="15" xfId="0" applyNumberFormat="1" applyFont="1" applyFill="1" applyBorder="1" applyAlignment="1">
      <alignment horizontal="center" vertical="center"/>
    </xf>
    <xf numFmtId="3" fontId="10" fillId="6" borderId="21" xfId="0" applyNumberFormat="1" applyFont="1" applyFill="1" applyBorder="1" applyAlignment="1">
      <alignment horizontal="center" vertical="center"/>
    </xf>
    <xf numFmtId="3" fontId="0" fillId="3" borderId="14" xfId="0" applyNumberFormat="1" applyFont="1" applyFill="1" applyBorder="1" applyAlignment="1">
      <alignment horizontal="center" vertical="center"/>
    </xf>
    <xf numFmtId="3" fontId="0" fillId="3" borderId="21" xfId="0" applyNumberFormat="1" applyFont="1" applyFill="1" applyBorder="1" applyAlignment="1">
      <alignment horizontal="center" vertical="center"/>
    </xf>
    <xf numFmtId="3" fontId="0" fillId="3" borderId="15" xfId="0" applyNumberFormat="1" applyFont="1" applyFill="1" applyBorder="1" applyAlignment="1">
      <alignment horizontal="center" vertical="center"/>
    </xf>
    <xf numFmtId="3" fontId="0" fillId="0" borderId="1" xfId="0" applyNumberFormat="1" applyFont="1" applyBorder="1" applyAlignment="1">
      <alignment horizontal="center" vertical="center"/>
    </xf>
    <xf numFmtId="3" fontId="3" fillId="3" borderId="22" xfId="0" applyNumberFormat="1" applyFont="1" applyFill="1" applyBorder="1" applyAlignment="1">
      <alignment horizontal="center" vertical="center"/>
    </xf>
    <xf numFmtId="3" fontId="3" fillId="4" borderId="14" xfId="0" applyNumberFormat="1" applyFont="1" applyFill="1" applyBorder="1" applyAlignment="1">
      <alignment horizontal="center" vertical="center"/>
    </xf>
    <xf numFmtId="3" fontId="3" fillId="4" borderId="1" xfId="0" applyNumberFormat="1" applyFont="1" applyFill="1" applyBorder="1" applyAlignment="1">
      <alignment horizontal="center" vertical="center"/>
    </xf>
    <xf numFmtId="3" fontId="3" fillId="4" borderId="15" xfId="0" applyNumberFormat="1" applyFont="1" applyFill="1" applyBorder="1" applyAlignment="1">
      <alignment horizontal="center" vertical="center"/>
    </xf>
    <xf numFmtId="3" fontId="3" fillId="4" borderId="21"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wrapText="1"/>
    </xf>
    <xf numFmtId="3" fontId="3" fillId="3" borderId="14"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3" fontId="3" fillId="5" borderId="14" xfId="0" applyNumberFormat="1" applyFont="1" applyFill="1" applyBorder="1" applyAlignment="1">
      <alignment horizontal="center" vertical="center"/>
    </xf>
    <xf numFmtId="3" fontId="3" fillId="5" borderId="1" xfId="0" applyNumberFormat="1" applyFont="1" applyFill="1" applyBorder="1" applyAlignment="1">
      <alignment horizontal="center" vertical="center"/>
    </xf>
    <xf numFmtId="3" fontId="3" fillId="5" borderId="15" xfId="0" applyNumberFormat="1" applyFont="1" applyFill="1" applyBorder="1" applyAlignment="1">
      <alignment horizontal="center" vertical="center"/>
    </xf>
    <xf numFmtId="3" fontId="3" fillId="5" borderId="21" xfId="0" applyNumberFormat="1" applyFont="1" applyFill="1" applyBorder="1" applyAlignment="1">
      <alignment horizontal="center" vertical="center"/>
    </xf>
    <xf numFmtId="3" fontId="3" fillId="3" borderId="21" xfId="0" applyNumberFormat="1" applyFont="1" applyFill="1" applyBorder="1" applyAlignment="1">
      <alignment horizontal="center" vertical="center" wrapText="1"/>
    </xf>
    <xf numFmtId="3" fontId="0" fillId="0" borderId="14" xfId="0" applyNumberFormat="1" applyFont="1" applyBorder="1" applyAlignment="1">
      <alignment horizontal="center" vertical="center"/>
    </xf>
    <xf numFmtId="0" fontId="7" fillId="0" borderId="5" xfId="0" applyFont="1" applyFill="1" applyBorder="1" applyAlignment="1">
      <alignment horizontal="left" vertical="center" wrapText="1"/>
    </xf>
    <xf numFmtId="3" fontId="10" fillId="6" borderId="23" xfId="0" applyNumberFormat="1" applyFont="1" applyFill="1" applyBorder="1" applyAlignment="1">
      <alignment horizontal="center" vertical="center"/>
    </xf>
    <xf numFmtId="3" fontId="3" fillId="8" borderId="1" xfId="0" applyNumberFormat="1" applyFont="1" applyFill="1" applyBorder="1" applyAlignment="1">
      <alignment horizontal="center" vertical="center"/>
    </xf>
    <xf numFmtId="0" fontId="3" fillId="9" borderId="1" xfId="0" applyFont="1" applyFill="1" applyBorder="1" applyAlignment="1">
      <alignment horizontal="center" vertical="center"/>
    </xf>
    <xf numFmtId="0" fontId="3" fillId="9" borderId="8" xfId="0" applyFont="1" applyFill="1" applyBorder="1" applyAlignment="1">
      <alignment horizontal="center" vertical="center"/>
    </xf>
    <xf numFmtId="3" fontId="3" fillId="9" borderId="14" xfId="0" applyNumberFormat="1" applyFont="1" applyFill="1" applyBorder="1" applyAlignment="1">
      <alignment horizontal="center" vertical="center"/>
    </xf>
    <xf numFmtId="3" fontId="3" fillId="9" borderId="1" xfId="0" applyNumberFormat="1" applyFont="1" applyFill="1" applyBorder="1" applyAlignment="1">
      <alignment horizontal="center" vertical="center"/>
    </xf>
    <xf numFmtId="3" fontId="0" fillId="9" borderId="1" xfId="0" applyNumberFormat="1" applyFont="1" applyFill="1" applyBorder="1" applyAlignment="1">
      <alignment horizontal="center" vertical="center"/>
    </xf>
    <xf numFmtId="3" fontId="0" fillId="9" borderId="15" xfId="0" applyNumberFormat="1" applyFont="1" applyFill="1" applyBorder="1" applyAlignment="1">
      <alignment horizontal="center" vertical="center" wrapText="1"/>
    </xf>
    <xf numFmtId="3" fontId="3" fillId="9" borderId="15" xfId="0" applyNumberFormat="1" applyFont="1" applyFill="1" applyBorder="1" applyAlignment="1">
      <alignment horizontal="center" vertical="center"/>
    </xf>
    <xf numFmtId="3" fontId="0" fillId="9" borderId="15" xfId="0" applyNumberFormat="1" applyFont="1" applyFill="1" applyBorder="1" applyAlignment="1">
      <alignment horizontal="center" vertical="center"/>
    </xf>
    <xf numFmtId="3" fontId="3" fillId="9" borderId="21" xfId="0" applyNumberFormat="1" applyFont="1" applyFill="1" applyBorder="1" applyAlignment="1">
      <alignment horizontal="center" vertical="center"/>
    </xf>
    <xf numFmtId="10" fontId="3" fillId="9" borderId="15" xfId="0" applyNumberFormat="1" applyFont="1" applyFill="1" applyBorder="1" applyAlignment="1">
      <alignment horizontal="center" vertical="center"/>
    </xf>
    <xf numFmtId="0" fontId="0" fillId="8" borderId="1" xfId="0" applyFont="1" applyFill="1" applyBorder="1" applyAlignment="1">
      <alignment vertical="center"/>
    </xf>
    <xf numFmtId="0" fontId="10" fillId="8" borderId="8" xfId="0" applyFont="1" applyFill="1" applyBorder="1" applyAlignment="1">
      <alignment horizontal="center" vertical="center"/>
    </xf>
    <xf numFmtId="3" fontId="10" fillId="8" borderId="14" xfId="0" applyNumberFormat="1" applyFont="1" applyFill="1" applyBorder="1" applyAlignment="1">
      <alignment horizontal="center" vertical="center"/>
    </xf>
    <xf numFmtId="3" fontId="10" fillId="8" borderId="1" xfId="0" applyNumberFormat="1" applyFont="1" applyFill="1" applyBorder="1" applyAlignment="1">
      <alignment horizontal="center" vertical="center"/>
    </xf>
    <xf numFmtId="3" fontId="10" fillId="8" borderId="15" xfId="0" applyNumberFormat="1" applyFont="1" applyFill="1" applyBorder="1" applyAlignment="1">
      <alignment horizontal="center" vertical="center"/>
    </xf>
    <xf numFmtId="3" fontId="10" fillId="8" borderId="21" xfId="0" applyNumberFormat="1" applyFont="1" applyFill="1" applyBorder="1" applyAlignment="1">
      <alignment horizontal="center" vertical="center"/>
    </xf>
    <xf numFmtId="3" fontId="13" fillId="8" borderId="1" xfId="0" applyNumberFormat="1" applyFont="1" applyFill="1" applyBorder="1" applyAlignment="1">
      <alignment horizontal="center" vertical="center"/>
    </xf>
    <xf numFmtId="10" fontId="10" fillId="8" borderId="1" xfId="0" applyNumberFormat="1" applyFont="1" applyFill="1" applyBorder="1" applyAlignment="1">
      <alignment horizontal="center" vertical="center"/>
    </xf>
    <xf numFmtId="0" fontId="0" fillId="8" borderId="1" xfId="0" applyFont="1" applyFill="1" applyBorder="1" applyAlignment="1">
      <alignment horizontal="left" vertical="center" wrapText="1"/>
    </xf>
    <xf numFmtId="10" fontId="3" fillId="9" borderId="1" xfId="0" applyNumberFormat="1" applyFont="1" applyFill="1" applyBorder="1" applyAlignment="1">
      <alignment horizontal="center" vertical="center"/>
    </xf>
    <xf numFmtId="0" fontId="0" fillId="9" borderId="1" xfId="0" applyFont="1" applyFill="1" applyBorder="1" applyAlignment="1">
      <alignment vertical="center"/>
    </xf>
    <xf numFmtId="3" fontId="3" fillId="3" borderId="14" xfId="21" applyNumberFormat="1" applyFont="1" applyFill="1" applyBorder="1" applyAlignment="1">
      <alignment horizontal="center" vertical="center" wrapText="1"/>
      <protection/>
    </xf>
    <xf numFmtId="3" fontId="3" fillId="3" borderId="1" xfId="21" applyNumberFormat="1" applyFont="1" applyFill="1" applyBorder="1" applyAlignment="1">
      <alignment horizontal="center" vertical="center" wrapText="1"/>
      <protection/>
    </xf>
    <xf numFmtId="3" fontId="3" fillId="3" borderId="15" xfId="21" applyNumberFormat="1" applyFont="1" applyFill="1" applyBorder="1" applyAlignment="1">
      <alignment horizontal="center" vertical="center" wrapText="1"/>
      <protection/>
    </xf>
    <xf numFmtId="3" fontId="3" fillId="6" borderId="1" xfId="0" applyNumberFormat="1" applyFont="1" applyFill="1" applyBorder="1" applyAlignment="1">
      <alignment horizontal="center" vertical="center"/>
    </xf>
    <xf numFmtId="0" fontId="16" fillId="10" borderId="1" xfId="0" applyFont="1" applyFill="1" applyBorder="1" applyAlignment="1">
      <alignment vertical="center"/>
    </xf>
    <xf numFmtId="0" fontId="17" fillId="10" borderId="8" xfId="0" applyFont="1" applyFill="1" applyBorder="1" applyAlignment="1">
      <alignment horizontal="center" vertical="center"/>
    </xf>
    <xf numFmtId="3" fontId="17" fillId="10" borderId="24" xfId="0" applyNumberFormat="1" applyFont="1" applyFill="1" applyBorder="1" applyAlignment="1">
      <alignment horizontal="center" vertical="center"/>
    </xf>
    <xf numFmtId="10" fontId="17" fillId="10" borderId="25" xfId="0" applyNumberFormat="1" applyFont="1" applyFill="1" applyBorder="1" applyAlignment="1">
      <alignment vertical="center"/>
    </xf>
    <xf numFmtId="3" fontId="7" fillId="0" borderId="0" xfId="0" applyNumberFormat="1" applyFont="1" applyFill="1" applyBorder="1" applyAlignment="1">
      <alignment horizontal="left" vertical="center"/>
    </xf>
    <xf numFmtId="2" fontId="9" fillId="0" borderId="1" xfId="0" applyNumberFormat="1" applyFont="1" applyBorder="1" applyAlignment="1">
      <alignment horizontal="left" vertical="center" wrapText="1"/>
    </xf>
    <xf numFmtId="2" fontId="9" fillId="0" borderId="21" xfId="0" applyNumberFormat="1" applyFont="1" applyBorder="1" applyAlignment="1">
      <alignment horizontal="left" vertical="center" wrapText="1"/>
    </xf>
    <xf numFmtId="2" fontId="7" fillId="2" borderId="4" xfId="0" applyNumberFormat="1" applyFont="1" applyFill="1" applyBorder="1" applyAlignment="1">
      <alignment horizontal="left" vertical="center" wrapText="1"/>
    </xf>
    <xf numFmtId="2" fontId="9" fillId="0" borderId="1" xfId="0" applyNumberFormat="1" applyFont="1" applyBorder="1" applyAlignment="1">
      <alignment horizontal="left" vertical="center"/>
    </xf>
    <xf numFmtId="2" fontId="9" fillId="0" borderId="21" xfId="0" applyNumberFormat="1" applyFont="1" applyBorder="1" applyAlignment="1">
      <alignment horizontal="left" vertical="center"/>
    </xf>
    <xf numFmtId="2" fontId="6" fillId="0" borderId="21" xfId="0" applyNumberFormat="1" applyFont="1" applyFill="1" applyBorder="1" applyAlignment="1">
      <alignment horizontal="left" vertical="center" wrapText="1"/>
    </xf>
    <xf numFmtId="2" fontId="9" fillId="0" borderId="18" xfId="0" applyNumberFormat="1" applyFont="1" applyBorder="1" applyAlignment="1">
      <alignment horizontal="left" vertical="center"/>
    </xf>
    <xf numFmtId="2" fontId="5" fillId="2" borderId="1" xfId="0" applyNumberFormat="1" applyFont="1" applyFill="1" applyBorder="1" applyAlignment="1">
      <alignment horizontal="left" vertical="center" wrapText="1"/>
    </xf>
    <xf numFmtId="3" fontId="0" fillId="3" borderId="22" xfId="0" applyNumberFormat="1" applyFont="1" applyFill="1" applyBorder="1" applyAlignment="1">
      <alignment horizontal="center" vertical="center"/>
    </xf>
    <xf numFmtId="0" fontId="3" fillId="3" borderId="1" xfId="0" applyFont="1" applyFill="1" applyBorder="1" applyAlignment="1">
      <alignment vertical="center"/>
    </xf>
    <xf numFmtId="10" fontId="3" fillId="6" borderId="15" xfId="0" applyNumberFormat="1" applyFont="1" applyFill="1" applyBorder="1" applyAlignment="1">
      <alignment horizontal="right" vertical="center"/>
    </xf>
    <xf numFmtId="0" fontId="3" fillId="3" borderId="1" xfId="0" applyFont="1" applyFill="1" applyBorder="1" applyAlignment="1">
      <alignment horizontal="left" vertical="center" wrapText="1"/>
    </xf>
    <xf numFmtId="10" fontId="3" fillId="3" borderId="1" xfId="21" applyNumberFormat="1" applyFont="1" applyFill="1" applyBorder="1" applyAlignment="1">
      <alignment horizontal="right" vertical="center" wrapText="1"/>
      <protection/>
    </xf>
    <xf numFmtId="10" fontId="3" fillId="0" borderId="15" xfId="0" applyNumberFormat="1" applyFont="1" applyFill="1" applyBorder="1" applyAlignment="1">
      <alignment vertical="center"/>
    </xf>
    <xf numFmtId="3" fontId="18" fillId="3" borderId="21" xfId="0" applyNumberFormat="1" applyFont="1" applyFill="1" applyBorder="1" applyAlignment="1">
      <alignment horizontal="center" vertical="center" wrapText="1"/>
    </xf>
    <xf numFmtId="3" fontId="3" fillId="3" borderId="15" xfId="0" applyNumberFormat="1" applyFont="1" applyFill="1" applyBorder="1" applyAlignment="1">
      <alignment horizontal="center" vertical="center" wrapText="1"/>
    </xf>
    <xf numFmtId="3" fontId="9" fillId="0" borderId="0" xfId="0" applyNumberFormat="1" applyFont="1" applyFill="1" applyBorder="1" applyAlignment="1">
      <alignment/>
    </xf>
    <xf numFmtId="0" fontId="9" fillId="0" borderId="0" xfId="0" applyFont="1" applyBorder="1" applyAlignment="1">
      <alignment/>
    </xf>
    <xf numFmtId="0" fontId="9" fillId="0" borderId="0" xfId="0" applyNumberFormat="1" applyFont="1" applyFill="1" applyBorder="1" applyAlignment="1">
      <alignment wrapText="1"/>
    </xf>
    <xf numFmtId="0" fontId="6" fillId="0" borderId="0" xfId="0" applyFont="1" applyBorder="1" applyAlignment="1">
      <alignment horizontal="left"/>
    </xf>
    <xf numFmtId="2" fontId="7" fillId="2" borderId="4" xfId="0" applyNumberFormat="1" applyFont="1" applyFill="1" applyBorder="1" applyAlignment="1">
      <alignment horizontal="right" vertical="center" wrapText="1"/>
    </xf>
    <xf numFmtId="0" fontId="19" fillId="7" borderId="0" xfId="0" applyFont="1" applyFill="1" applyBorder="1" applyAlignment="1">
      <alignment horizontal="left"/>
    </xf>
    <xf numFmtId="3" fontId="18" fillId="3" borderId="1" xfId="0" applyNumberFormat="1" applyFont="1" applyFill="1" applyBorder="1" applyAlignment="1">
      <alignment horizontal="center" vertical="center" wrapText="1"/>
    </xf>
    <xf numFmtId="3" fontId="3" fillId="3" borderId="21" xfId="21" applyNumberFormat="1" applyFont="1" applyFill="1" applyBorder="1" applyAlignment="1">
      <alignment horizontal="center" vertical="center" wrapText="1"/>
      <protection/>
    </xf>
    <xf numFmtId="0" fontId="9" fillId="0" borderId="0" xfId="0" applyFont="1" applyFill="1" applyBorder="1" applyAlignment="1">
      <alignment wrapText="1"/>
    </xf>
    <xf numFmtId="0" fontId="9" fillId="4" borderId="0" xfId="0" applyFont="1" applyFill="1" applyAlignment="1">
      <alignment/>
    </xf>
    <xf numFmtId="0" fontId="19" fillId="4" borderId="0" xfId="0" applyFont="1" applyFill="1" applyAlignment="1">
      <alignment/>
    </xf>
    <xf numFmtId="0" fontId="9" fillId="0" borderId="6" xfId="0" applyFont="1" applyBorder="1" applyAlignment="1">
      <alignment/>
    </xf>
    <xf numFmtId="0" fontId="9" fillId="0" borderId="26" xfId="0" applyFont="1" applyBorder="1" applyAlignment="1">
      <alignment/>
    </xf>
    <xf numFmtId="10" fontId="9" fillId="0" borderId="0" xfId="0" applyNumberFormat="1" applyFont="1" applyAlignment="1">
      <alignment/>
    </xf>
    <xf numFmtId="0" fontId="9" fillId="0" borderId="5" xfId="0" applyFont="1" applyBorder="1" applyAlignment="1">
      <alignment/>
    </xf>
    <xf numFmtId="0" fontId="9" fillId="0" borderId="0" xfId="0" applyFont="1" applyBorder="1" applyAlignment="1">
      <alignment/>
    </xf>
    <xf numFmtId="0" fontId="9" fillId="0" borderId="1" xfId="0" applyFont="1" applyBorder="1" applyAlignment="1">
      <alignment/>
    </xf>
    <xf numFmtId="0" fontId="9" fillId="0" borderId="0" xfId="0" applyFont="1" applyAlignment="1">
      <alignment/>
    </xf>
    <xf numFmtId="0" fontId="9" fillId="0" borderId="0" xfId="0" applyNumberFormat="1" applyFont="1" applyBorder="1" applyAlignment="1">
      <alignment/>
    </xf>
    <xf numFmtId="0" fontId="9" fillId="0" borderId="0" xfId="0" applyNumberFormat="1" applyFont="1" applyAlignment="1">
      <alignment/>
    </xf>
    <xf numFmtId="0" fontId="9" fillId="0" borderId="0" xfId="0" applyNumberFormat="1" applyFont="1" applyBorder="1" applyAlignment="1">
      <alignment/>
    </xf>
    <xf numFmtId="0" fontId="9" fillId="0" borderId="1" xfId="0" applyFont="1" applyFill="1" applyBorder="1" applyAlignment="1">
      <alignment/>
    </xf>
    <xf numFmtId="10" fontId="7" fillId="0" borderId="0" xfId="0" applyNumberFormat="1" applyFont="1" applyFill="1" applyAlignment="1">
      <alignment/>
    </xf>
    <xf numFmtId="0" fontId="7" fillId="0" borderId="0" xfId="0" applyFont="1" applyFill="1" applyAlignment="1">
      <alignment/>
    </xf>
    <xf numFmtId="3" fontId="20" fillId="0" borderId="0" xfId="0" applyNumberFormat="1" applyFont="1" applyAlignment="1">
      <alignment/>
    </xf>
    <xf numFmtId="0" fontId="20" fillId="0" borderId="0" xfId="0" applyFont="1" applyAlignment="1">
      <alignment/>
    </xf>
    <xf numFmtId="10" fontId="9" fillId="2" borderId="0" xfId="0" applyNumberFormat="1" applyFont="1" applyFill="1" applyAlignment="1">
      <alignment/>
    </xf>
    <xf numFmtId="0" fontId="9" fillId="2" borderId="0" xfId="0" applyFont="1" applyFill="1" applyAlignment="1">
      <alignment/>
    </xf>
    <xf numFmtId="0" fontId="9" fillId="7" borderId="0" xfId="0" applyFont="1" applyFill="1" applyAlignment="1">
      <alignment/>
    </xf>
    <xf numFmtId="0" fontId="9" fillId="0" borderId="0" xfId="0" applyFont="1" applyFill="1" applyAlignment="1">
      <alignment/>
    </xf>
    <xf numFmtId="10" fontId="9" fillId="0" borderId="6" xfId="0" applyNumberFormat="1" applyFont="1" applyBorder="1" applyAlignment="1">
      <alignment/>
    </xf>
    <xf numFmtId="0" fontId="9" fillId="0" borderId="7" xfId="0" applyFont="1" applyBorder="1" applyAlignment="1">
      <alignment/>
    </xf>
    <xf numFmtId="3" fontId="17" fillId="10" borderId="27" xfId="0" applyNumberFormat="1" applyFont="1" applyFill="1" applyBorder="1" applyAlignment="1">
      <alignment horizontal="center" vertical="center"/>
    </xf>
    <xf numFmtId="3" fontId="0" fillId="0" borderId="1" xfId="0" applyNumberFormat="1" applyFont="1" applyFill="1" applyBorder="1" applyAlignment="1">
      <alignment horizontal="center" vertical="center" wrapText="1"/>
    </xf>
    <xf numFmtId="3" fontId="8" fillId="0" borderId="1" xfId="0" applyNumberFormat="1" applyFont="1" applyBorder="1" applyAlignment="1">
      <alignment horizontal="center" vertical="center"/>
    </xf>
    <xf numFmtId="3" fontId="8" fillId="0" borderId="3" xfId="0" applyNumberFormat="1" applyFont="1" applyBorder="1" applyAlignment="1">
      <alignment horizontal="center" vertical="center"/>
    </xf>
    <xf numFmtId="0" fontId="9" fillId="0" borderId="2"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10" fontId="9" fillId="0" borderId="8" xfId="0" applyNumberFormat="1" applyFont="1" applyBorder="1" applyAlignment="1">
      <alignment horizontal="right" vertical="center"/>
    </xf>
    <xf numFmtId="10" fontId="9" fillId="0" borderId="21" xfId="0" applyNumberFormat="1" applyFont="1" applyBorder="1" applyAlignment="1">
      <alignment horizontal="right" vertical="center"/>
    </xf>
    <xf numFmtId="0" fontId="9" fillId="0" borderId="28" xfId="0" applyFont="1" applyBorder="1" applyAlignment="1">
      <alignment vertical="center" wrapText="1"/>
    </xf>
    <xf numFmtId="0" fontId="9" fillId="0" borderId="21" xfId="0" applyFont="1" applyBorder="1" applyAlignment="1">
      <alignment vertical="center" wrapText="1"/>
    </xf>
    <xf numFmtId="0" fontId="7" fillId="2" borderId="2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3" fontId="7" fillId="2" borderId="8" xfId="0" applyNumberFormat="1" applyFont="1" applyFill="1" applyBorder="1" applyAlignment="1">
      <alignment horizontal="center" vertical="center" wrapText="1"/>
    </xf>
    <xf numFmtId="3" fontId="7" fillId="2" borderId="22" xfId="0" applyNumberFormat="1" applyFont="1" applyFill="1" applyBorder="1" applyAlignment="1">
      <alignment horizontal="center" vertical="center" wrapText="1"/>
    </xf>
    <xf numFmtId="3" fontId="7" fillId="2" borderId="30" xfId="0" applyNumberFormat="1"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4" xfId="0" applyFont="1" applyFill="1" applyBorder="1" applyAlignment="1">
      <alignment horizontal="center" vertical="center" wrapText="1"/>
    </xf>
    <xf numFmtId="10" fontId="7" fillId="2" borderId="19" xfId="0" applyNumberFormat="1" applyFont="1" applyFill="1" applyBorder="1" applyAlignment="1">
      <alignment horizontal="right" vertical="center"/>
    </xf>
    <xf numFmtId="10" fontId="7" fillId="2" borderId="32" xfId="0" applyNumberFormat="1" applyFont="1" applyFill="1" applyBorder="1" applyAlignment="1">
      <alignment horizontal="right" vertical="center"/>
    </xf>
    <xf numFmtId="10" fontId="9" fillId="0" borderId="1" xfId="0" applyNumberFormat="1" applyFont="1" applyBorder="1" applyAlignment="1">
      <alignment horizontal="right" vertical="center"/>
    </xf>
    <xf numFmtId="10" fontId="9" fillId="0" borderId="3" xfId="0" applyNumberFormat="1" applyFont="1" applyBorder="1" applyAlignment="1">
      <alignment horizontal="right" vertical="center"/>
    </xf>
    <xf numFmtId="0" fontId="7" fillId="0" borderId="0" xfId="0" applyFont="1" applyBorder="1" applyAlignment="1">
      <alignment horizontal="left"/>
    </xf>
    <xf numFmtId="3" fontId="8" fillId="0" borderId="8" xfId="0" applyNumberFormat="1" applyFont="1" applyBorder="1" applyAlignment="1">
      <alignment horizontal="center" vertical="center" wrapText="1"/>
    </xf>
    <xf numFmtId="3" fontId="8" fillId="0" borderId="21" xfId="0" applyNumberFormat="1" applyFont="1" applyBorder="1" applyAlignment="1">
      <alignment horizontal="center" vertical="center" wrapText="1"/>
    </xf>
    <xf numFmtId="3" fontId="8" fillId="0" borderId="8" xfId="0" applyNumberFormat="1" applyFont="1" applyBorder="1" applyAlignment="1">
      <alignment horizontal="center" vertical="center"/>
    </xf>
    <xf numFmtId="3" fontId="8" fillId="0" borderId="21" xfId="0" applyNumberFormat="1" applyFont="1" applyBorder="1" applyAlignment="1">
      <alignment horizontal="center" vertical="center"/>
    </xf>
    <xf numFmtId="0" fontId="3" fillId="2" borderId="33" xfId="0" applyFont="1" applyFill="1" applyBorder="1" applyAlignment="1">
      <alignment horizontal="center" vertical="center" wrapText="1"/>
    </xf>
    <xf numFmtId="0" fontId="3" fillId="2" borderId="2" xfId="0" applyFont="1" applyFill="1" applyBorder="1" applyAlignment="1">
      <alignment horizontal="center" vertical="center" wrapText="1"/>
    </xf>
    <xf numFmtId="10" fontId="3" fillId="2" borderId="34"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39" xfId="0" applyFont="1" applyBorder="1" applyAlignment="1">
      <alignment horizontal="center" vertical="center"/>
    </xf>
    <xf numFmtId="10" fontId="7" fillId="2" borderId="4" xfId="0" applyNumberFormat="1" applyFont="1" applyFill="1" applyBorder="1" applyAlignment="1">
      <alignment horizontal="right" vertical="center"/>
    </xf>
    <xf numFmtId="10" fontId="7" fillId="2" borderId="9" xfId="0" applyNumberFormat="1" applyFont="1" applyFill="1" applyBorder="1" applyAlignment="1">
      <alignment horizontal="right" vertical="center"/>
    </xf>
    <xf numFmtId="0" fontId="5" fillId="2" borderId="4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21" xfId="0" applyFont="1" applyBorder="1" applyAlignment="1">
      <alignment/>
    </xf>
    <xf numFmtId="0" fontId="7" fillId="2" borderId="1" xfId="0" applyFont="1" applyFill="1" applyBorder="1" applyAlignment="1">
      <alignment horizontal="center" vertical="center"/>
    </xf>
    <xf numFmtId="3" fontId="7" fillId="2" borderId="1" xfId="0" applyNumberFormat="1"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30" xfId="0" applyFont="1" applyFill="1" applyBorder="1" applyAlignment="1">
      <alignment horizontal="center" vertical="center"/>
    </xf>
    <xf numFmtId="0" fontId="9" fillId="0" borderId="2" xfId="0" applyFont="1" applyBorder="1" applyAlignment="1">
      <alignment vertical="center"/>
    </xf>
    <xf numFmtId="0" fontId="9" fillId="0" borderId="1" xfId="0" applyFont="1" applyBorder="1" applyAlignment="1">
      <alignment vertical="center"/>
    </xf>
    <xf numFmtId="0" fontId="9" fillId="0" borderId="28" xfId="0" applyFont="1" applyBorder="1" applyAlignment="1">
      <alignment vertical="center"/>
    </xf>
    <xf numFmtId="0" fontId="9" fillId="0" borderId="21" xfId="0" applyFont="1" applyBorder="1" applyAlignment="1">
      <alignment vertical="center"/>
    </xf>
    <xf numFmtId="3" fontId="9" fillId="0" borderId="1" xfId="0" applyNumberFormat="1" applyFont="1" applyBorder="1" applyAlignment="1">
      <alignment horizontal="right" vertical="center"/>
    </xf>
    <xf numFmtId="3" fontId="7" fillId="2" borderId="21" xfId="0" applyNumberFormat="1" applyFont="1" applyFill="1" applyBorder="1" applyAlignment="1">
      <alignment horizontal="center" vertical="center" wrapText="1"/>
    </xf>
    <xf numFmtId="3" fontId="7" fillId="2" borderId="4" xfId="0" applyNumberFormat="1" applyFont="1" applyFill="1" applyBorder="1" applyAlignment="1">
      <alignment horizontal="right" vertical="center"/>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9" fillId="0" borderId="0" xfId="0" applyFont="1" applyAlignment="1">
      <alignment horizontal="left"/>
    </xf>
    <xf numFmtId="0" fontId="7" fillId="0" borderId="5" xfId="0" applyFont="1" applyBorder="1" applyAlignment="1">
      <alignment horizontal="left"/>
    </xf>
    <xf numFmtId="0" fontId="9" fillId="0" borderId="5" xfId="0" applyFont="1" applyBorder="1" applyAlignment="1">
      <alignment horizontal="left"/>
    </xf>
    <xf numFmtId="3" fontId="7" fillId="2" borderId="19" xfId="0" applyNumberFormat="1" applyFont="1" applyFill="1" applyBorder="1" applyAlignment="1">
      <alignment horizontal="right" vertical="center"/>
    </xf>
    <xf numFmtId="3" fontId="7" fillId="2" borderId="32" xfId="0" applyNumberFormat="1" applyFont="1" applyFill="1" applyBorder="1" applyAlignment="1">
      <alignment horizontal="right" vertical="center"/>
    </xf>
    <xf numFmtId="3" fontId="8" fillId="0" borderId="30" xfId="0" applyNumberFormat="1" applyFont="1" applyBorder="1" applyAlignment="1">
      <alignment horizontal="center" vertical="center"/>
    </xf>
    <xf numFmtId="0" fontId="7" fillId="0" borderId="5" xfId="0" applyFont="1" applyFill="1" applyBorder="1" applyAlignment="1">
      <alignment horizontal="left" vertical="center" wrapText="1"/>
    </xf>
    <xf numFmtId="0" fontId="9" fillId="0" borderId="2" xfId="0" applyFont="1" applyBorder="1" applyAlignment="1">
      <alignment horizontal="left" vertical="center"/>
    </xf>
    <xf numFmtId="0" fontId="9" fillId="0" borderId="1" xfId="0" applyFont="1" applyBorder="1" applyAlignment="1">
      <alignment horizontal="left" vertical="center"/>
    </xf>
    <xf numFmtId="0" fontId="9" fillId="0" borderId="28" xfId="0" applyFont="1" applyBorder="1" applyAlignment="1">
      <alignment horizontal="left" vertical="center"/>
    </xf>
    <xf numFmtId="0" fontId="9" fillId="0" borderId="21" xfId="0" applyFont="1" applyBorder="1" applyAlignment="1">
      <alignment horizontal="left" vertical="center"/>
    </xf>
    <xf numFmtId="0" fontId="5" fillId="2" borderId="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9" fillId="0" borderId="0" xfId="0" applyFont="1" applyFill="1" applyBorder="1" applyAlignment="1">
      <alignment wrapText="1"/>
    </xf>
    <xf numFmtId="3" fontId="7" fillId="2" borderId="3" xfId="0" applyNumberFormat="1"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9" fillId="7" borderId="0" xfId="0" applyFont="1" applyFill="1" applyBorder="1" applyAlignment="1">
      <alignment horizontal="left"/>
    </xf>
    <xf numFmtId="3" fontId="9" fillId="0" borderId="8" xfId="0" applyNumberFormat="1" applyFont="1" applyBorder="1" applyAlignment="1">
      <alignment horizontal="center" vertical="center"/>
    </xf>
    <xf numFmtId="3" fontId="9" fillId="0" borderId="22" xfId="0" applyNumberFormat="1" applyFont="1" applyBorder="1" applyAlignment="1">
      <alignment horizontal="center" vertical="center"/>
    </xf>
    <xf numFmtId="3" fontId="9" fillId="0" borderId="21" xfId="0" applyNumberFormat="1" applyFont="1" applyBorder="1" applyAlignment="1">
      <alignment horizontal="center" vertical="center"/>
    </xf>
    <xf numFmtId="0" fontId="9" fillId="0" borderId="8" xfId="0" applyFont="1" applyBorder="1" applyAlignment="1">
      <alignment horizontal="right"/>
    </xf>
    <xf numFmtId="0" fontId="9" fillId="0" borderId="22" xfId="0" applyFont="1" applyBorder="1" applyAlignment="1">
      <alignment horizontal="right"/>
    </xf>
    <xf numFmtId="0" fontId="9" fillId="0" borderId="21" xfId="0" applyFont="1" applyBorder="1" applyAlignment="1">
      <alignment horizontal="right"/>
    </xf>
    <xf numFmtId="0" fontId="6" fillId="0" borderId="28" xfId="0" applyFont="1" applyFill="1" applyBorder="1" applyAlignment="1">
      <alignment horizontal="left" vertical="center" wrapText="1"/>
    </xf>
    <xf numFmtId="0" fontId="6" fillId="0" borderId="21" xfId="0" applyFont="1" applyFill="1" applyBorder="1" applyAlignment="1">
      <alignment horizontal="left" vertical="center" wrapText="1"/>
    </xf>
    <xf numFmtId="3" fontId="8" fillId="0" borderId="8" xfId="0" applyNumberFormat="1" applyFont="1" applyFill="1" applyBorder="1" applyAlignment="1">
      <alignment horizontal="right" vertical="center" wrapText="1"/>
    </xf>
    <xf numFmtId="3" fontId="8" fillId="0" borderId="22" xfId="0" applyNumberFormat="1" applyFont="1" applyFill="1" applyBorder="1" applyAlignment="1">
      <alignment horizontal="right" vertical="center" wrapText="1"/>
    </xf>
    <xf numFmtId="3" fontId="8" fillId="0" borderId="21" xfId="0" applyNumberFormat="1" applyFont="1" applyFill="1" applyBorder="1" applyAlignment="1">
      <alignment horizontal="right" vertical="center" wrapText="1"/>
    </xf>
    <xf numFmtId="3" fontId="9" fillId="0" borderId="1" xfId="0" applyNumberFormat="1" applyFont="1" applyBorder="1" applyAlignment="1">
      <alignment horizontal="center" vertical="center"/>
    </xf>
    <xf numFmtId="0" fontId="9" fillId="0" borderId="1" xfId="0" applyNumberFormat="1" applyFont="1" applyBorder="1" applyAlignment="1">
      <alignment horizontal="center" vertical="center"/>
    </xf>
    <xf numFmtId="0" fontId="9" fillId="0" borderId="0" xfId="0" applyFont="1" applyBorder="1" applyAlignment="1">
      <alignment horizontal="left"/>
    </xf>
    <xf numFmtId="3" fontId="9" fillId="0" borderId="0" xfId="0" applyNumberFormat="1" applyFont="1" applyFill="1" applyBorder="1" applyAlignment="1">
      <alignment horizontal="left" vertical="center"/>
    </xf>
    <xf numFmtId="3" fontId="7" fillId="2" borderId="4" xfId="0" applyNumberFormat="1" applyFont="1" applyFill="1" applyBorder="1" applyAlignment="1">
      <alignment horizontal="center" vertical="center"/>
    </xf>
    <xf numFmtId="3" fontId="7" fillId="2" borderId="19" xfId="0" applyNumberFormat="1" applyFont="1" applyFill="1" applyBorder="1" applyAlignment="1">
      <alignment horizontal="center" vertical="center"/>
    </xf>
    <xf numFmtId="3" fontId="7" fillId="2" borderId="32" xfId="0" applyNumberFormat="1" applyFont="1" applyFill="1" applyBorder="1" applyAlignment="1">
      <alignment horizontal="center" vertical="center"/>
    </xf>
    <xf numFmtId="3" fontId="7" fillId="2" borderId="8" xfId="0" applyNumberFormat="1" applyFont="1" applyFill="1" applyBorder="1" applyAlignment="1">
      <alignment vertical="center" wrapText="1"/>
    </xf>
    <xf numFmtId="3" fontId="7" fillId="2" borderId="30" xfId="0" applyNumberFormat="1" applyFont="1" applyFill="1" applyBorder="1" applyAlignment="1">
      <alignment vertical="center" wrapText="1"/>
    </xf>
    <xf numFmtId="0" fontId="7" fillId="2" borderId="8" xfId="0" applyNumberFormat="1" applyFont="1" applyFill="1" applyBorder="1" applyAlignment="1">
      <alignment vertical="center" wrapText="1"/>
    </xf>
    <xf numFmtId="0" fontId="7" fillId="2" borderId="30" xfId="0" applyNumberFormat="1" applyFont="1" applyFill="1" applyBorder="1" applyAlignment="1">
      <alignment vertical="center"/>
    </xf>
    <xf numFmtId="3" fontId="7" fillId="2" borderId="21" xfId="0" applyNumberFormat="1" applyFont="1" applyFill="1" applyBorder="1" applyAlignment="1">
      <alignment vertical="center" wrapText="1"/>
    </xf>
    <xf numFmtId="0" fontId="7" fillId="2" borderId="21" xfId="0" applyNumberFormat="1" applyFont="1" applyFill="1" applyBorder="1" applyAlignment="1">
      <alignment vertical="center" wrapText="1"/>
    </xf>
    <xf numFmtId="3" fontId="9" fillId="0" borderId="0" xfId="0" applyNumberFormat="1" applyFont="1" applyFill="1" applyBorder="1" applyAlignment="1">
      <alignment/>
    </xf>
    <xf numFmtId="0" fontId="9" fillId="0" borderId="0" xfId="0" applyFont="1" applyBorder="1" applyAlignment="1">
      <alignment/>
    </xf>
    <xf numFmtId="0" fontId="7" fillId="2" borderId="8" xfId="0" applyNumberFormat="1" applyFont="1" applyFill="1" applyBorder="1" applyAlignment="1">
      <alignment vertical="justify"/>
    </xf>
    <xf numFmtId="0" fontId="7" fillId="2" borderId="21" xfId="0" applyNumberFormat="1" applyFont="1" applyFill="1" applyBorder="1" applyAlignment="1">
      <alignment vertical="justify"/>
    </xf>
    <xf numFmtId="0" fontId="6" fillId="0" borderId="0" xfId="0" applyFont="1" applyAlignment="1">
      <alignment horizontal="left"/>
    </xf>
    <xf numFmtId="3" fontId="7" fillId="0" borderId="5" xfId="0" applyNumberFormat="1" applyFont="1" applyFill="1" applyBorder="1" applyAlignment="1">
      <alignment horizontal="left" vertical="center"/>
    </xf>
    <xf numFmtId="0" fontId="9" fillId="0" borderId="0" xfId="0" applyFont="1" applyAlignment="1">
      <alignment/>
    </xf>
    <xf numFmtId="0" fontId="9" fillId="0" borderId="0" xfId="0" applyFont="1" applyFill="1" applyBorder="1" applyAlignment="1">
      <alignment horizontal="center" wrapText="1"/>
    </xf>
    <xf numFmtId="3" fontId="7" fillId="2" borderId="8" xfId="0" applyNumberFormat="1" applyFont="1" applyFill="1" applyBorder="1" applyAlignment="1">
      <alignment horizontal="left" vertical="center"/>
    </xf>
    <xf numFmtId="3" fontId="7" fillId="2" borderId="21" xfId="0" applyNumberFormat="1" applyFont="1" applyFill="1" applyBorder="1" applyAlignment="1">
      <alignment horizontal="left" vertical="center"/>
    </xf>
    <xf numFmtId="0" fontId="9" fillId="0" borderId="0" xfId="0" applyNumberFormat="1" applyFont="1" applyFill="1" applyBorder="1" applyAlignment="1">
      <alignment wrapText="1"/>
    </xf>
    <xf numFmtId="0" fontId="5" fillId="2" borderId="51" xfId="0" applyFont="1" applyFill="1" applyBorder="1" applyAlignment="1">
      <alignment horizontal="center"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Feuil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30"/>
  <sheetViews>
    <sheetView view="pageBreakPreview" zoomScale="85" zoomScaleSheetLayoutView="85" workbookViewId="0" topLeftCell="A1">
      <pane xSplit="2" ySplit="2" topLeftCell="C101" activePane="bottomRight" state="frozen"/>
      <selection pane="topLeft" activeCell="A1" sqref="A1"/>
      <selection pane="topRight" activeCell="C1" sqref="C1"/>
      <selection pane="bottomLeft" activeCell="A3" sqref="A3"/>
      <selection pane="bottomRight" activeCell="A185" sqref="A185:IV195"/>
    </sheetView>
  </sheetViews>
  <sheetFormatPr defaultColWidth="11.421875" defaultRowHeight="12.75"/>
  <cols>
    <col min="1" max="1" width="40.00390625" style="34" bestFit="1" customWidth="1"/>
    <col min="2" max="2" width="40.8515625" style="43" bestFit="1" customWidth="1"/>
    <col min="3" max="3" width="10.8515625" style="43" bestFit="1" customWidth="1"/>
    <col min="4" max="4" width="14.421875" style="43" bestFit="1" customWidth="1"/>
    <col min="5" max="5" width="14.57421875" style="34" bestFit="1" customWidth="1"/>
    <col min="6" max="6" width="10.140625" style="34" customWidth="1"/>
    <col min="7" max="7" width="29.8515625" style="34" customWidth="1"/>
    <col min="8" max="8" width="12.7109375" style="34" bestFit="1" customWidth="1"/>
    <col min="9" max="9" width="9.57421875" style="34" customWidth="1"/>
    <col min="10" max="10" width="10.8515625" style="34" customWidth="1"/>
    <col min="11" max="11" width="12.7109375" style="34" bestFit="1" customWidth="1"/>
    <col min="12" max="12" width="10.7109375" style="43" bestFit="1" customWidth="1"/>
    <col min="13" max="13" width="11.57421875" style="34" customWidth="1"/>
    <col min="14" max="14" width="10.421875" style="43" bestFit="1" customWidth="1"/>
    <col min="15" max="15" width="14.00390625" style="44" bestFit="1" customWidth="1"/>
    <col min="16" max="16" width="9.7109375" style="43" bestFit="1" customWidth="1"/>
    <col min="17" max="17" width="8.28125" style="34" bestFit="1" customWidth="1"/>
    <col min="18" max="18" width="12.57421875" style="85" customWidth="1"/>
    <col min="19" max="16384" width="11.421875" style="34" customWidth="1"/>
  </cols>
  <sheetData>
    <row r="1" spans="1:18" ht="39" customHeight="1" thickBot="1" thickTop="1">
      <c r="A1" s="246" t="s">
        <v>202</v>
      </c>
      <c r="B1" s="255" t="s">
        <v>104</v>
      </c>
      <c r="C1" s="257" t="s">
        <v>200</v>
      </c>
      <c r="D1" s="258"/>
      <c r="E1" s="258"/>
      <c r="F1" s="258"/>
      <c r="G1" s="259"/>
      <c r="H1" s="250" t="s">
        <v>201</v>
      </c>
      <c r="I1" s="251"/>
      <c r="J1" s="252"/>
      <c r="K1" s="250" t="s">
        <v>278</v>
      </c>
      <c r="L1" s="251"/>
      <c r="M1" s="252"/>
      <c r="N1" s="253" t="s">
        <v>659</v>
      </c>
      <c r="O1" s="260" t="s">
        <v>290</v>
      </c>
      <c r="P1" s="260" t="s">
        <v>289</v>
      </c>
      <c r="Q1" s="253" t="s">
        <v>203</v>
      </c>
      <c r="R1" s="248" t="s">
        <v>204</v>
      </c>
    </row>
    <row r="2" spans="1:18" ht="58.5" customHeight="1">
      <c r="A2" s="247"/>
      <c r="B2" s="256"/>
      <c r="C2" s="45" t="s">
        <v>304</v>
      </c>
      <c r="D2" s="46" t="s">
        <v>305</v>
      </c>
      <c r="E2" s="47" t="s">
        <v>303</v>
      </c>
      <c r="F2" s="47" t="s">
        <v>666</v>
      </c>
      <c r="G2" s="48" t="s">
        <v>494</v>
      </c>
      <c r="H2" s="74" t="s">
        <v>306</v>
      </c>
      <c r="I2" s="47" t="s">
        <v>457</v>
      </c>
      <c r="J2" s="48" t="s">
        <v>307</v>
      </c>
      <c r="K2" s="74" t="s">
        <v>308</v>
      </c>
      <c r="L2" s="47" t="s">
        <v>459</v>
      </c>
      <c r="M2" s="48" t="s">
        <v>458</v>
      </c>
      <c r="N2" s="262"/>
      <c r="O2" s="261"/>
      <c r="P2" s="261"/>
      <c r="Q2" s="254"/>
      <c r="R2" s="249"/>
    </row>
    <row r="3" spans="1:18" ht="12.75">
      <c r="A3" s="49"/>
      <c r="B3" s="50"/>
      <c r="C3" s="51"/>
      <c r="D3" s="49"/>
      <c r="E3" s="49"/>
      <c r="F3" s="49"/>
      <c r="G3" s="52"/>
      <c r="H3" s="51"/>
      <c r="I3" s="49"/>
      <c r="J3" s="52"/>
      <c r="K3" s="51"/>
      <c r="L3" s="49"/>
      <c r="M3" s="52"/>
      <c r="N3" s="92"/>
      <c r="O3" s="49"/>
      <c r="P3" s="49"/>
      <c r="Q3" s="49"/>
      <c r="R3" s="79"/>
    </row>
    <row r="4" spans="1:18" ht="12.75">
      <c r="A4" s="36" t="s">
        <v>199</v>
      </c>
      <c r="B4" s="53"/>
      <c r="C4" s="105"/>
      <c r="D4" s="33"/>
      <c r="E4" s="33"/>
      <c r="F4" s="33"/>
      <c r="G4" s="106"/>
      <c r="H4" s="105"/>
      <c r="I4" s="33"/>
      <c r="J4" s="106"/>
      <c r="K4" s="105"/>
      <c r="L4" s="33"/>
      <c r="M4" s="106"/>
      <c r="N4" s="93"/>
      <c r="O4" s="33"/>
      <c r="P4" s="104"/>
      <c r="Q4" s="33"/>
      <c r="R4" s="80"/>
    </row>
    <row r="5" spans="1:18" ht="12.75">
      <c r="A5" s="30" t="s">
        <v>205</v>
      </c>
      <c r="B5" s="32" t="s">
        <v>196</v>
      </c>
      <c r="C5" s="107">
        <v>187</v>
      </c>
      <c r="D5" s="108">
        <v>547</v>
      </c>
      <c r="E5" s="104">
        <f aca="true" t="shared" si="0" ref="E5:E43">SUM(C5:D5)</f>
        <v>734</v>
      </c>
      <c r="F5" s="104">
        <v>159</v>
      </c>
      <c r="G5" s="109">
        <f aca="true" t="shared" si="1" ref="G5:G41">E5-F5</f>
        <v>575</v>
      </c>
      <c r="H5" s="118">
        <v>79</v>
      </c>
      <c r="I5" s="110">
        <v>0</v>
      </c>
      <c r="J5" s="120">
        <f>H5-I5</f>
        <v>79</v>
      </c>
      <c r="K5" s="118">
        <f>E5+H5</f>
        <v>813</v>
      </c>
      <c r="L5" s="104">
        <f>F5+I5</f>
        <v>159</v>
      </c>
      <c r="M5" s="120">
        <f>K5-L5</f>
        <v>654</v>
      </c>
      <c r="N5" s="111">
        <v>5154</v>
      </c>
      <c r="O5" s="103">
        <v>7</v>
      </c>
      <c r="P5" s="103">
        <f aca="true" t="shared" si="2" ref="P5:P12">SUM(N5:O5)</f>
        <v>5161</v>
      </c>
      <c r="Q5" s="103">
        <f>K5</f>
        <v>813</v>
      </c>
      <c r="R5" s="101">
        <f aca="true" t="shared" si="3" ref="R5:R13">Q5/P5</f>
        <v>0.1575276109281147</v>
      </c>
    </row>
    <row r="6" spans="1:18" ht="12.75">
      <c r="A6" s="36"/>
      <c r="B6" s="32" t="s">
        <v>197</v>
      </c>
      <c r="C6" s="107">
        <v>208</v>
      </c>
      <c r="D6" s="108">
        <v>649</v>
      </c>
      <c r="E6" s="104">
        <f t="shared" si="0"/>
        <v>857</v>
      </c>
      <c r="F6" s="104">
        <v>182</v>
      </c>
      <c r="G6" s="109">
        <f t="shared" si="1"/>
        <v>675</v>
      </c>
      <c r="H6" s="118">
        <v>75</v>
      </c>
      <c r="I6" s="110">
        <v>3</v>
      </c>
      <c r="J6" s="120">
        <f aca="true" t="shared" si="4" ref="J6:J75">H6-I6</f>
        <v>72</v>
      </c>
      <c r="K6" s="118">
        <f aca="true" t="shared" si="5" ref="K6:K12">E6+H6</f>
        <v>932</v>
      </c>
      <c r="L6" s="104">
        <f aca="true" t="shared" si="6" ref="L6:L75">F6+I6</f>
        <v>185</v>
      </c>
      <c r="M6" s="120">
        <f>K6-L6</f>
        <v>747</v>
      </c>
      <c r="N6" s="111">
        <v>5949</v>
      </c>
      <c r="O6" s="103">
        <v>9</v>
      </c>
      <c r="P6" s="103">
        <f t="shared" si="2"/>
        <v>5958</v>
      </c>
      <c r="Q6" s="103">
        <f>K6</f>
        <v>932</v>
      </c>
      <c r="R6" s="101">
        <f t="shared" si="3"/>
        <v>0.15642833165491776</v>
      </c>
    </row>
    <row r="7" spans="1:18" ht="12.75">
      <c r="A7" s="36"/>
      <c r="B7" s="32" t="s">
        <v>198</v>
      </c>
      <c r="C7" s="107">
        <v>198</v>
      </c>
      <c r="D7" s="108">
        <v>598</v>
      </c>
      <c r="E7" s="104">
        <f t="shared" si="0"/>
        <v>796</v>
      </c>
      <c r="F7" s="104">
        <v>160</v>
      </c>
      <c r="G7" s="109">
        <f t="shared" si="1"/>
        <v>636</v>
      </c>
      <c r="H7" s="118">
        <v>71</v>
      </c>
      <c r="I7" s="110">
        <v>2</v>
      </c>
      <c r="J7" s="120">
        <f t="shared" si="4"/>
        <v>69</v>
      </c>
      <c r="K7" s="118">
        <f t="shared" si="5"/>
        <v>867</v>
      </c>
      <c r="L7" s="104">
        <f t="shared" si="6"/>
        <v>162</v>
      </c>
      <c r="M7" s="120">
        <f>K7-L7</f>
        <v>705</v>
      </c>
      <c r="N7" s="111">
        <v>5568</v>
      </c>
      <c r="O7" s="103">
        <v>2</v>
      </c>
      <c r="P7" s="103">
        <f t="shared" si="2"/>
        <v>5570</v>
      </c>
      <c r="Q7" s="103">
        <f>K7</f>
        <v>867</v>
      </c>
      <c r="R7" s="101">
        <f t="shared" si="3"/>
        <v>0.1556552962298025</v>
      </c>
    </row>
    <row r="8" spans="1:18" ht="12.75">
      <c r="A8" s="36"/>
      <c r="B8" s="56" t="s">
        <v>460</v>
      </c>
      <c r="C8" s="128">
        <f>SUM(C5:C7)</f>
        <v>593</v>
      </c>
      <c r="D8" s="129">
        <f aca="true" t="shared" si="7" ref="D8:Q8">SUM(D5:D7)</f>
        <v>1794</v>
      </c>
      <c r="E8" s="129">
        <f t="shared" si="7"/>
        <v>2387</v>
      </c>
      <c r="F8" s="129">
        <f t="shared" si="7"/>
        <v>501</v>
      </c>
      <c r="G8" s="184">
        <f t="shared" si="7"/>
        <v>1886</v>
      </c>
      <c r="H8" s="128">
        <f t="shared" si="7"/>
        <v>225</v>
      </c>
      <c r="I8" s="129">
        <f t="shared" si="7"/>
        <v>5</v>
      </c>
      <c r="J8" s="184">
        <f t="shared" si="7"/>
        <v>220</v>
      </c>
      <c r="K8" s="128">
        <f t="shared" si="7"/>
        <v>2612</v>
      </c>
      <c r="L8" s="129">
        <f t="shared" si="7"/>
        <v>506</v>
      </c>
      <c r="M8" s="184">
        <f t="shared" si="7"/>
        <v>2106</v>
      </c>
      <c r="N8" s="134">
        <f t="shared" si="7"/>
        <v>16671</v>
      </c>
      <c r="O8" s="129">
        <f t="shared" si="7"/>
        <v>18</v>
      </c>
      <c r="P8" s="102">
        <f t="shared" si="2"/>
        <v>16689</v>
      </c>
      <c r="Q8" s="129">
        <f t="shared" si="7"/>
        <v>2612</v>
      </c>
      <c r="R8" s="182">
        <f t="shared" si="3"/>
        <v>0.156510276229852</v>
      </c>
    </row>
    <row r="9" spans="1:18" ht="12.75">
      <c r="A9" s="30" t="s">
        <v>0</v>
      </c>
      <c r="B9" s="38" t="s">
        <v>107</v>
      </c>
      <c r="C9" s="112">
        <v>228</v>
      </c>
      <c r="D9" s="110">
        <v>402</v>
      </c>
      <c r="E9" s="104">
        <f t="shared" si="0"/>
        <v>630</v>
      </c>
      <c r="F9" s="108">
        <v>45</v>
      </c>
      <c r="G9" s="109">
        <f t="shared" si="1"/>
        <v>585</v>
      </c>
      <c r="H9" s="118">
        <v>48</v>
      </c>
      <c r="I9" s="110">
        <v>0</v>
      </c>
      <c r="J9" s="120">
        <f t="shared" si="4"/>
        <v>48</v>
      </c>
      <c r="K9" s="118">
        <f t="shared" si="5"/>
        <v>678</v>
      </c>
      <c r="L9" s="104">
        <f t="shared" si="6"/>
        <v>45</v>
      </c>
      <c r="M9" s="120">
        <f>K9-L9</f>
        <v>633</v>
      </c>
      <c r="N9" s="113">
        <v>3040</v>
      </c>
      <c r="O9" s="121">
        <v>0</v>
      </c>
      <c r="P9" s="103">
        <f t="shared" si="2"/>
        <v>3040</v>
      </c>
      <c r="Q9" s="104">
        <f>K9</f>
        <v>678</v>
      </c>
      <c r="R9" s="101">
        <f t="shared" si="3"/>
        <v>0.22302631578947368</v>
      </c>
    </row>
    <row r="10" spans="1:18" ht="12.75">
      <c r="A10" s="37"/>
      <c r="B10" s="38" t="s">
        <v>108</v>
      </c>
      <c r="C10" s="112">
        <v>94</v>
      </c>
      <c r="D10" s="110">
        <v>361</v>
      </c>
      <c r="E10" s="104">
        <f t="shared" si="0"/>
        <v>455</v>
      </c>
      <c r="F10" s="108">
        <v>74</v>
      </c>
      <c r="G10" s="109">
        <f t="shared" si="1"/>
        <v>381</v>
      </c>
      <c r="H10" s="118">
        <v>55</v>
      </c>
      <c r="I10" s="104">
        <v>0</v>
      </c>
      <c r="J10" s="120">
        <f t="shared" si="4"/>
        <v>55</v>
      </c>
      <c r="K10" s="118">
        <f t="shared" si="5"/>
        <v>510</v>
      </c>
      <c r="L10" s="104">
        <f t="shared" si="6"/>
        <v>74</v>
      </c>
      <c r="M10" s="120">
        <f>K10-L10</f>
        <v>436</v>
      </c>
      <c r="N10" s="119">
        <v>3561</v>
      </c>
      <c r="O10" s="104">
        <v>0</v>
      </c>
      <c r="P10" s="103">
        <f t="shared" si="2"/>
        <v>3561</v>
      </c>
      <c r="Q10" s="104">
        <f>K10</f>
        <v>510</v>
      </c>
      <c r="R10" s="101">
        <f t="shared" si="3"/>
        <v>0.14321819713563605</v>
      </c>
    </row>
    <row r="11" spans="1:18" ht="12.75">
      <c r="A11" s="37"/>
      <c r="B11" s="73" t="s">
        <v>461</v>
      </c>
      <c r="C11" s="160">
        <f>SUM(C9:C10)</f>
        <v>322</v>
      </c>
      <c r="D11" s="161">
        <f>SUM(D9:D10)</f>
        <v>763</v>
      </c>
      <c r="E11" s="161">
        <f>SUM(C11:D11)</f>
        <v>1085</v>
      </c>
      <c r="F11" s="161">
        <f aca="true" t="shared" si="8" ref="F11:Q11">SUM(F9:F10)</f>
        <v>119</v>
      </c>
      <c r="G11" s="162">
        <f t="shared" si="8"/>
        <v>966</v>
      </c>
      <c r="H11" s="160">
        <f t="shared" si="8"/>
        <v>103</v>
      </c>
      <c r="I11" s="161">
        <f t="shared" si="8"/>
        <v>0</v>
      </c>
      <c r="J11" s="162">
        <f t="shared" si="8"/>
        <v>103</v>
      </c>
      <c r="K11" s="160">
        <f t="shared" si="8"/>
        <v>1188</v>
      </c>
      <c r="L11" s="161">
        <f t="shared" si="8"/>
        <v>119</v>
      </c>
      <c r="M11" s="162">
        <f t="shared" si="8"/>
        <v>1069</v>
      </c>
      <c r="N11" s="192">
        <f t="shared" si="8"/>
        <v>6601</v>
      </c>
      <c r="O11" s="161">
        <f t="shared" si="8"/>
        <v>0</v>
      </c>
      <c r="P11" s="102">
        <f t="shared" si="2"/>
        <v>6601</v>
      </c>
      <c r="Q11" s="161">
        <f t="shared" si="8"/>
        <v>1188</v>
      </c>
      <c r="R11" s="182">
        <f t="shared" si="3"/>
        <v>0.17997273140433268</v>
      </c>
    </row>
    <row r="12" spans="1:18" ht="12.75">
      <c r="A12" s="30" t="s">
        <v>1</v>
      </c>
      <c r="B12" s="38" t="s">
        <v>109</v>
      </c>
      <c r="C12" s="112">
        <v>252</v>
      </c>
      <c r="D12" s="110">
        <v>560</v>
      </c>
      <c r="E12" s="110">
        <f>SUM(C12:D12)</f>
        <v>812</v>
      </c>
      <c r="F12" s="108">
        <v>105</v>
      </c>
      <c r="G12" s="109">
        <f t="shared" si="1"/>
        <v>707</v>
      </c>
      <c r="H12" s="118">
        <v>65</v>
      </c>
      <c r="I12" s="104">
        <v>0</v>
      </c>
      <c r="J12" s="120">
        <f t="shared" si="4"/>
        <v>65</v>
      </c>
      <c r="K12" s="118">
        <f t="shared" si="5"/>
        <v>877</v>
      </c>
      <c r="L12" s="104">
        <f t="shared" si="6"/>
        <v>105</v>
      </c>
      <c r="M12" s="120">
        <f>K12-L12</f>
        <v>772</v>
      </c>
      <c r="N12" s="119">
        <v>3789</v>
      </c>
      <c r="O12" s="104">
        <v>8</v>
      </c>
      <c r="P12" s="103">
        <f t="shared" si="2"/>
        <v>3797</v>
      </c>
      <c r="Q12" s="104">
        <f>K12</f>
        <v>877</v>
      </c>
      <c r="R12" s="101">
        <f t="shared" si="3"/>
        <v>0.23097181985778245</v>
      </c>
    </row>
    <row r="13" spans="1:18" s="76" customFormat="1" ht="12.75">
      <c r="A13" s="54" t="s">
        <v>292</v>
      </c>
      <c r="B13" s="77"/>
      <c r="C13" s="114">
        <f aca="true" t="shared" si="9" ref="C13:Q13">+C5+C6+C7+C9+C10+C12</f>
        <v>1167</v>
      </c>
      <c r="D13" s="115">
        <f t="shared" si="9"/>
        <v>3117</v>
      </c>
      <c r="E13" s="115">
        <f t="shared" si="9"/>
        <v>4284</v>
      </c>
      <c r="F13" s="115">
        <f t="shared" si="9"/>
        <v>725</v>
      </c>
      <c r="G13" s="116">
        <f t="shared" si="9"/>
        <v>3559</v>
      </c>
      <c r="H13" s="114">
        <f t="shared" si="9"/>
        <v>393</v>
      </c>
      <c r="I13" s="115">
        <f t="shared" si="9"/>
        <v>5</v>
      </c>
      <c r="J13" s="116">
        <f t="shared" si="9"/>
        <v>388</v>
      </c>
      <c r="K13" s="114">
        <f t="shared" si="9"/>
        <v>4677</v>
      </c>
      <c r="L13" s="115">
        <f t="shared" si="9"/>
        <v>730</v>
      </c>
      <c r="M13" s="116">
        <f t="shared" si="9"/>
        <v>3947</v>
      </c>
      <c r="N13" s="117">
        <f t="shared" si="9"/>
        <v>27061</v>
      </c>
      <c r="O13" s="115">
        <f t="shared" si="9"/>
        <v>26</v>
      </c>
      <c r="P13" s="115">
        <f t="shared" si="9"/>
        <v>27087</v>
      </c>
      <c r="Q13" s="115">
        <f t="shared" si="9"/>
        <v>4677</v>
      </c>
      <c r="R13" s="82">
        <f t="shared" si="3"/>
        <v>0.17266585446893343</v>
      </c>
    </row>
    <row r="14" spans="1:18" ht="12.75">
      <c r="A14" s="36" t="s">
        <v>206</v>
      </c>
      <c r="B14" s="53"/>
      <c r="C14" s="105"/>
      <c r="D14" s="33"/>
      <c r="E14" s="104"/>
      <c r="F14" s="33"/>
      <c r="G14" s="109"/>
      <c r="H14" s="105"/>
      <c r="I14" s="33"/>
      <c r="J14" s="106"/>
      <c r="K14" s="105"/>
      <c r="L14" s="104"/>
      <c r="M14" s="120"/>
      <c r="N14" s="93"/>
      <c r="O14" s="33"/>
      <c r="P14" s="104"/>
      <c r="Q14" s="33"/>
      <c r="R14" s="88"/>
    </row>
    <row r="15" spans="1:18" ht="12.75">
      <c r="A15" s="30" t="s">
        <v>2</v>
      </c>
      <c r="B15" s="40" t="s">
        <v>207</v>
      </c>
      <c r="C15" s="118">
        <v>285</v>
      </c>
      <c r="D15" s="104">
        <v>455</v>
      </c>
      <c r="E15" s="104">
        <f t="shared" si="0"/>
        <v>740</v>
      </c>
      <c r="F15" s="33">
        <v>27</v>
      </c>
      <c r="G15" s="109">
        <f t="shared" si="1"/>
        <v>713</v>
      </c>
      <c r="H15" s="118">
        <v>56</v>
      </c>
      <c r="I15" s="104">
        <v>0</v>
      </c>
      <c r="J15" s="120">
        <f t="shared" si="4"/>
        <v>56</v>
      </c>
      <c r="K15" s="118">
        <f>E15+H15</f>
        <v>796</v>
      </c>
      <c r="L15" s="104">
        <f t="shared" si="6"/>
        <v>27</v>
      </c>
      <c r="M15" s="120">
        <f>K15-L15</f>
        <v>769</v>
      </c>
      <c r="N15" s="119">
        <v>2604</v>
      </c>
      <c r="O15" s="104">
        <v>0</v>
      </c>
      <c r="P15" s="104">
        <f>N15+O15</f>
        <v>2604</v>
      </c>
      <c r="Q15" s="104">
        <f>K15</f>
        <v>796</v>
      </c>
      <c r="R15" s="86">
        <f aca="true" t="shared" si="10" ref="R15:R27">Q15/P15</f>
        <v>0.30568356374807987</v>
      </c>
    </row>
    <row r="16" spans="1:18" ht="12.75">
      <c r="A16" s="35"/>
      <c r="B16" s="40" t="s">
        <v>208</v>
      </c>
      <c r="C16" s="118">
        <v>274</v>
      </c>
      <c r="D16" s="104">
        <v>455</v>
      </c>
      <c r="E16" s="104">
        <f t="shared" si="0"/>
        <v>729</v>
      </c>
      <c r="F16" s="108">
        <v>14</v>
      </c>
      <c r="G16" s="109">
        <f t="shared" si="1"/>
        <v>715</v>
      </c>
      <c r="H16" s="118">
        <v>48</v>
      </c>
      <c r="I16" s="104">
        <v>0</v>
      </c>
      <c r="J16" s="120">
        <f t="shared" si="4"/>
        <v>48</v>
      </c>
      <c r="K16" s="118">
        <f aca="true" t="shared" si="11" ref="K16:K26">E16+H16</f>
        <v>777</v>
      </c>
      <c r="L16" s="104">
        <f t="shared" si="6"/>
        <v>14</v>
      </c>
      <c r="M16" s="120">
        <f>K16-L16</f>
        <v>763</v>
      </c>
      <c r="N16" s="119">
        <v>2510</v>
      </c>
      <c r="O16" s="104">
        <v>1</v>
      </c>
      <c r="P16" s="104">
        <f aca="true" t="shared" si="12" ref="P16:P26">N16+O16</f>
        <v>2511</v>
      </c>
      <c r="Q16" s="104">
        <f aca="true" t="shared" si="13" ref="Q16:Q26">K16</f>
        <v>777</v>
      </c>
      <c r="R16" s="86">
        <f t="shared" si="10"/>
        <v>0.3094384707287933</v>
      </c>
    </row>
    <row r="17" spans="1:18" ht="12.75">
      <c r="A17" s="35"/>
      <c r="B17" s="53" t="s">
        <v>462</v>
      </c>
      <c r="C17" s="105">
        <f>SUM(C15:C16)</f>
        <v>559</v>
      </c>
      <c r="D17" s="33">
        <f aca="true" t="shared" si="14" ref="D17:O17">SUM(D15:D16)</f>
        <v>910</v>
      </c>
      <c r="E17" s="33">
        <f t="shared" si="14"/>
        <v>1469</v>
      </c>
      <c r="F17" s="33">
        <f t="shared" si="14"/>
        <v>41</v>
      </c>
      <c r="G17" s="106">
        <f t="shared" si="14"/>
        <v>1428</v>
      </c>
      <c r="H17" s="105">
        <f t="shared" si="14"/>
        <v>104</v>
      </c>
      <c r="I17" s="33">
        <f t="shared" si="14"/>
        <v>0</v>
      </c>
      <c r="J17" s="106">
        <f t="shared" si="14"/>
        <v>104</v>
      </c>
      <c r="K17" s="105">
        <f t="shared" si="14"/>
        <v>1573</v>
      </c>
      <c r="L17" s="33">
        <f t="shared" si="14"/>
        <v>41</v>
      </c>
      <c r="M17" s="106">
        <f t="shared" si="14"/>
        <v>1532</v>
      </c>
      <c r="N17" s="93">
        <f t="shared" si="14"/>
        <v>5114</v>
      </c>
      <c r="O17" s="33">
        <f t="shared" si="14"/>
        <v>1</v>
      </c>
      <c r="P17" s="33">
        <f t="shared" si="12"/>
        <v>5115</v>
      </c>
      <c r="Q17" s="33">
        <f t="shared" si="13"/>
        <v>1573</v>
      </c>
      <c r="R17" s="88">
        <f t="shared" si="10"/>
        <v>0.30752688172043013</v>
      </c>
    </row>
    <row r="18" spans="1:18" ht="12.75">
      <c r="A18" s="30" t="s">
        <v>6</v>
      </c>
      <c r="B18" s="38" t="s">
        <v>164</v>
      </c>
      <c r="C18" s="112">
        <v>347</v>
      </c>
      <c r="D18" s="110">
        <v>231</v>
      </c>
      <c r="E18" s="104">
        <f t="shared" si="0"/>
        <v>578</v>
      </c>
      <c r="F18" s="108">
        <v>43</v>
      </c>
      <c r="G18" s="109">
        <f t="shared" si="1"/>
        <v>535</v>
      </c>
      <c r="H18" s="118">
        <v>65</v>
      </c>
      <c r="I18" s="121">
        <v>0</v>
      </c>
      <c r="J18" s="120">
        <f t="shared" si="4"/>
        <v>65</v>
      </c>
      <c r="K18" s="118">
        <f t="shared" si="11"/>
        <v>643</v>
      </c>
      <c r="L18" s="104">
        <f t="shared" si="6"/>
        <v>43</v>
      </c>
      <c r="M18" s="120">
        <f aca="true" t="shared" si="15" ref="M18:M24">K18-L18</f>
        <v>600</v>
      </c>
      <c r="N18" s="119">
        <v>2037</v>
      </c>
      <c r="O18" s="104">
        <v>0</v>
      </c>
      <c r="P18" s="104">
        <f t="shared" si="12"/>
        <v>2037</v>
      </c>
      <c r="Q18" s="104">
        <f t="shared" si="13"/>
        <v>643</v>
      </c>
      <c r="R18" s="86">
        <f t="shared" si="10"/>
        <v>0.31566028473244967</v>
      </c>
    </row>
    <row r="19" spans="1:18" ht="12.75">
      <c r="A19" s="30" t="s">
        <v>5</v>
      </c>
      <c r="B19" s="40" t="s">
        <v>165</v>
      </c>
      <c r="C19" s="118">
        <v>140</v>
      </c>
      <c r="D19" s="104">
        <v>328</v>
      </c>
      <c r="E19" s="104">
        <f t="shared" si="0"/>
        <v>468</v>
      </c>
      <c r="F19" s="108">
        <v>14</v>
      </c>
      <c r="G19" s="109">
        <f t="shared" si="1"/>
        <v>454</v>
      </c>
      <c r="H19" s="118">
        <v>23</v>
      </c>
      <c r="I19" s="104">
        <v>0</v>
      </c>
      <c r="J19" s="120">
        <f t="shared" si="4"/>
        <v>23</v>
      </c>
      <c r="K19" s="118">
        <f t="shared" si="11"/>
        <v>491</v>
      </c>
      <c r="L19" s="104">
        <f t="shared" si="6"/>
        <v>14</v>
      </c>
      <c r="M19" s="120">
        <f t="shared" si="15"/>
        <v>477</v>
      </c>
      <c r="N19" s="119">
        <v>1570</v>
      </c>
      <c r="O19" s="104">
        <v>0</v>
      </c>
      <c r="P19" s="104">
        <f t="shared" si="12"/>
        <v>1570</v>
      </c>
      <c r="Q19" s="104">
        <f t="shared" si="13"/>
        <v>491</v>
      </c>
      <c r="R19" s="86">
        <f t="shared" si="10"/>
        <v>0.3127388535031847</v>
      </c>
    </row>
    <row r="20" spans="1:18" ht="12.75">
      <c r="A20" s="30" t="s">
        <v>4</v>
      </c>
      <c r="B20" s="38" t="s">
        <v>302</v>
      </c>
      <c r="C20" s="112">
        <v>382</v>
      </c>
      <c r="D20" s="110">
        <v>439</v>
      </c>
      <c r="E20" s="104">
        <f t="shared" si="0"/>
        <v>821</v>
      </c>
      <c r="F20" s="108">
        <v>23</v>
      </c>
      <c r="G20" s="109">
        <f t="shared" si="1"/>
        <v>798</v>
      </c>
      <c r="H20" s="118">
        <v>43</v>
      </c>
      <c r="I20" s="121">
        <v>0</v>
      </c>
      <c r="J20" s="120">
        <f t="shared" si="4"/>
        <v>43</v>
      </c>
      <c r="K20" s="118">
        <f t="shared" si="11"/>
        <v>864</v>
      </c>
      <c r="L20" s="104">
        <f t="shared" si="6"/>
        <v>23</v>
      </c>
      <c r="M20" s="120">
        <f t="shared" si="15"/>
        <v>841</v>
      </c>
      <c r="N20" s="119">
        <v>3571</v>
      </c>
      <c r="O20" s="33">
        <v>2</v>
      </c>
      <c r="P20" s="104">
        <f t="shared" si="12"/>
        <v>3573</v>
      </c>
      <c r="Q20" s="104">
        <f t="shared" si="13"/>
        <v>864</v>
      </c>
      <c r="R20" s="86">
        <f t="shared" si="10"/>
        <v>0.24181360201511334</v>
      </c>
    </row>
    <row r="21" spans="1:18" ht="12.75">
      <c r="A21" s="30" t="s">
        <v>3</v>
      </c>
      <c r="B21" s="40" t="s">
        <v>226</v>
      </c>
      <c r="C21" s="118">
        <v>265</v>
      </c>
      <c r="D21" s="104">
        <v>491</v>
      </c>
      <c r="E21" s="104">
        <f t="shared" si="0"/>
        <v>756</v>
      </c>
      <c r="F21" s="108">
        <v>37</v>
      </c>
      <c r="G21" s="109">
        <f t="shared" si="1"/>
        <v>719</v>
      </c>
      <c r="H21" s="118">
        <v>50</v>
      </c>
      <c r="I21" s="104">
        <v>0</v>
      </c>
      <c r="J21" s="120">
        <f t="shared" si="4"/>
        <v>50</v>
      </c>
      <c r="K21" s="118">
        <f t="shared" si="11"/>
        <v>806</v>
      </c>
      <c r="L21" s="104">
        <f t="shared" si="6"/>
        <v>37</v>
      </c>
      <c r="M21" s="120">
        <f t="shared" si="15"/>
        <v>769</v>
      </c>
      <c r="N21" s="119">
        <v>2900</v>
      </c>
      <c r="O21" s="104">
        <v>0</v>
      </c>
      <c r="P21" s="104">
        <f t="shared" si="12"/>
        <v>2900</v>
      </c>
      <c r="Q21" s="104">
        <f t="shared" si="13"/>
        <v>806</v>
      </c>
      <c r="R21" s="86">
        <f t="shared" si="10"/>
        <v>0.27793103448275863</v>
      </c>
    </row>
    <row r="22" spans="1:18" ht="12.75">
      <c r="A22" s="30"/>
      <c r="B22" s="40" t="s">
        <v>227</v>
      </c>
      <c r="C22" s="118">
        <v>245</v>
      </c>
      <c r="D22" s="104">
        <v>425</v>
      </c>
      <c r="E22" s="104">
        <f t="shared" si="0"/>
        <v>670</v>
      </c>
      <c r="F22" s="108">
        <v>45</v>
      </c>
      <c r="G22" s="109">
        <f t="shared" si="1"/>
        <v>625</v>
      </c>
      <c r="H22" s="118">
        <v>75</v>
      </c>
      <c r="I22" s="104">
        <v>0</v>
      </c>
      <c r="J22" s="120">
        <f t="shared" si="4"/>
        <v>75</v>
      </c>
      <c r="K22" s="118">
        <f t="shared" si="11"/>
        <v>745</v>
      </c>
      <c r="L22" s="104">
        <f t="shared" si="6"/>
        <v>45</v>
      </c>
      <c r="M22" s="120">
        <f t="shared" si="15"/>
        <v>700</v>
      </c>
      <c r="N22" s="119">
        <v>2900</v>
      </c>
      <c r="O22" s="104">
        <v>0</v>
      </c>
      <c r="P22" s="104">
        <f t="shared" si="12"/>
        <v>2900</v>
      </c>
      <c r="Q22" s="104">
        <f t="shared" si="13"/>
        <v>745</v>
      </c>
      <c r="R22" s="86">
        <f t="shared" si="10"/>
        <v>0.25689655172413794</v>
      </c>
    </row>
    <row r="23" spans="1:18" ht="12.75">
      <c r="A23" s="30"/>
      <c r="B23" s="40" t="s">
        <v>228</v>
      </c>
      <c r="C23" s="118">
        <v>273</v>
      </c>
      <c r="D23" s="104">
        <v>546</v>
      </c>
      <c r="E23" s="104">
        <f t="shared" si="0"/>
        <v>819</v>
      </c>
      <c r="F23" s="108">
        <v>65</v>
      </c>
      <c r="G23" s="109">
        <f t="shared" si="1"/>
        <v>754</v>
      </c>
      <c r="H23" s="118">
        <v>66</v>
      </c>
      <c r="I23" s="104">
        <v>0</v>
      </c>
      <c r="J23" s="120">
        <f t="shared" si="4"/>
        <v>66</v>
      </c>
      <c r="K23" s="118">
        <f t="shared" si="11"/>
        <v>885</v>
      </c>
      <c r="L23" s="104">
        <f t="shared" si="6"/>
        <v>65</v>
      </c>
      <c r="M23" s="120">
        <f t="shared" si="15"/>
        <v>820</v>
      </c>
      <c r="N23" s="119">
        <v>2889</v>
      </c>
      <c r="O23" s="104">
        <v>1</v>
      </c>
      <c r="P23" s="104">
        <f t="shared" si="12"/>
        <v>2890</v>
      </c>
      <c r="Q23" s="104">
        <f t="shared" si="13"/>
        <v>885</v>
      </c>
      <c r="R23" s="86">
        <f t="shared" si="10"/>
        <v>0.3062283737024221</v>
      </c>
    </row>
    <row r="24" spans="1:18" ht="12.75">
      <c r="A24" s="30"/>
      <c r="B24" s="40" t="s">
        <v>229</v>
      </c>
      <c r="C24" s="118">
        <v>277</v>
      </c>
      <c r="D24" s="104">
        <v>502</v>
      </c>
      <c r="E24" s="104">
        <f t="shared" si="0"/>
        <v>779</v>
      </c>
      <c r="F24" s="108">
        <v>47</v>
      </c>
      <c r="G24" s="109">
        <f t="shared" si="1"/>
        <v>732</v>
      </c>
      <c r="H24" s="118">
        <v>76</v>
      </c>
      <c r="I24" s="104">
        <v>0</v>
      </c>
      <c r="J24" s="120">
        <f t="shared" si="4"/>
        <v>76</v>
      </c>
      <c r="K24" s="118">
        <f t="shared" si="11"/>
        <v>855</v>
      </c>
      <c r="L24" s="104">
        <f t="shared" si="6"/>
        <v>47</v>
      </c>
      <c r="M24" s="120">
        <f t="shared" si="15"/>
        <v>808</v>
      </c>
      <c r="N24" s="119">
        <v>2890</v>
      </c>
      <c r="O24" s="104">
        <v>3</v>
      </c>
      <c r="P24" s="104">
        <f t="shared" si="12"/>
        <v>2893</v>
      </c>
      <c r="Q24" s="104">
        <f t="shared" si="13"/>
        <v>855</v>
      </c>
      <c r="R24" s="86">
        <f t="shared" si="10"/>
        <v>0.2955409609402005</v>
      </c>
    </row>
    <row r="25" spans="1:18" ht="12.75">
      <c r="A25" s="30"/>
      <c r="B25" s="53" t="s">
        <v>463</v>
      </c>
      <c r="C25" s="105">
        <f>SUM(C21:C24)</f>
        <v>1060</v>
      </c>
      <c r="D25" s="33">
        <f aca="true" t="shared" si="16" ref="D25:O25">SUM(D21:D24)</f>
        <v>1964</v>
      </c>
      <c r="E25" s="33">
        <f t="shared" si="16"/>
        <v>3024</v>
      </c>
      <c r="F25" s="33">
        <f t="shared" si="16"/>
        <v>194</v>
      </c>
      <c r="G25" s="106">
        <f t="shared" si="16"/>
        <v>2830</v>
      </c>
      <c r="H25" s="105">
        <f t="shared" si="16"/>
        <v>267</v>
      </c>
      <c r="I25" s="33">
        <f t="shared" si="16"/>
        <v>0</v>
      </c>
      <c r="J25" s="106">
        <f t="shared" si="16"/>
        <v>267</v>
      </c>
      <c r="K25" s="105">
        <f t="shared" si="16"/>
        <v>3291</v>
      </c>
      <c r="L25" s="33">
        <f t="shared" si="16"/>
        <v>194</v>
      </c>
      <c r="M25" s="106">
        <f t="shared" si="16"/>
        <v>3097</v>
      </c>
      <c r="N25" s="93">
        <f t="shared" si="16"/>
        <v>11579</v>
      </c>
      <c r="O25" s="33">
        <f t="shared" si="16"/>
        <v>4</v>
      </c>
      <c r="P25" s="33">
        <f t="shared" si="12"/>
        <v>11583</v>
      </c>
      <c r="Q25" s="33">
        <f t="shared" si="13"/>
        <v>3291</v>
      </c>
      <c r="R25" s="88">
        <f t="shared" si="10"/>
        <v>0.28412328412328414</v>
      </c>
    </row>
    <row r="26" spans="1:18" s="97" customFormat="1" ht="12.75">
      <c r="A26" s="30" t="s">
        <v>7</v>
      </c>
      <c r="B26" s="40" t="s">
        <v>225</v>
      </c>
      <c r="C26" s="118">
        <v>156</v>
      </c>
      <c r="D26" s="104">
        <v>120</v>
      </c>
      <c r="E26" s="104">
        <f t="shared" si="0"/>
        <v>276</v>
      </c>
      <c r="F26" s="108">
        <v>13</v>
      </c>
      <c r="G26" s="109">
        <f t="shared" si="1"/>
        <v>263</v>
      </c>
      <c r="H26" s="118">
        <v>19</v>
      </c>
      <c r="I26" s="121">
        <v>0</v>
      </c>
      <c r="J26" s="120">
        <f t="shared" si="4"/>
        <v>19</v>
      </c>
      <c r="K26" s="118">
        <f t="shared" si="11"/>
        <v>295</v>
      </c>
      <c r="L26" s="104">
        <f t="shared" si="6"/>
        <v>13</v>
      </c>
      <c r="M26" s="120">
        <f>K26-L26</f>
        <v>282</v>
      </c>
      <c r="N26" s="119">
        <v>1184</v>
      </c>
      <c r="O26" s="104">
        <v>0</v>
      </c>
      <c r="P26" s="104">
        <f t="shared" si="12"/>
        <v>1184</v>
      </c>
      <c r="Q26" s="104">
        <f t="shared" si="13"/>
        <v>295</v>
      </c>
      <c r="R26" s="86">
        <f t="shared" si="10"/>
        <v>0.2491554054054054</v>
      </c>
    </row>
    <row r="27" spans="1:18" s="76" customFormat="1" ht="12.75">
      <c r="A27" s="54" t="s">
        <v>292</v>
      </c>
      <c r="B27" s="77"/>
      <c r="C27" s="137">
        <f aca="true" t="shared" si="17" ref="C27:Q27">SUM(C15,C16,C18,C19,C20,C21,C22,C23,C24,C26)</f>
        <v>2644</v>
      </c>
      <c r="D27" s="115">
        <f t="shared" si="17"/>
        <v>3992</v>
      </c>
      <c r="E27" s="115">
        <f t="shared" si="17"/>
        <v>6636</v>
      </c>
      <c r="F27" s="115">
        <f t="shared" si="17"/>
        <v>328</v>
      </c>
      <c r="G27" s="115">
        <f t="shared" si="17"/>
        <v>6308</v>
      </c>
      <c r="H27" s="115">
        <f t="shared" si="17"/>
        <v>521</v>
      </c>
      <c r="I27" s="115">
        <f t="shared" si="17"/>
        <v>0</v>
      </c>
      <c r="J27" s="115">
        <f t="shared" si="17"/>
        <v>521</v>
      </c>
      <c r="K27" s="115">
        <f t="shared" si="17"/>
        <v>7157</v>
      </c>
      <c r="L27" s="115">
        <f t="shared" si="17"/>
        <v>328</v>
      </c>
      <c r="M27" s="115">
        <f t="shared" si="17"/>
        <v>6829</v>
      </c>
      <c r="N27" s="115">
        <f t="shared" si="17"/>
        <v>25055</v>
      </c>
      <c r="O27" s="115">
        <f t="shared" si="17"/>
        <v>7</v>
      </c>
      <c r="P27" s="115">
        <f t="shared" si="17"/>
        <v>25062</v>
      </c>
      <c r="Q27" s="115">
        <f t="shared" si="17"/>
        <v>7157</v>
      </c>
      <c r="R27" s="82">
        <f t="shared" si="10"/>
        <v>0.2855717819806879</v>
      </c>
    </row>
    <row r="28" spans="1:18" ht="12.75">
      <c r="A28" s="36" t="s">
        <v>209</v>
      </c>
      <c r="B28" s="53"/>
      <c r="C28" s="105"/>
      <c r="D28" s="33"/>
      <c r="E28" s="104"/>
      <c r="F28" s="33"/>
      <c r="G28" s="109"/>
      <c r="H28" s="105"/>
      <c r="I28" s="33"/>
      <c r="J28" s="106"/>
      <c r="K28" s="105"/>
      <c r="L28" s="104"/>
      <c r="M28" s="120"/>
      <c r="N28" s="93"/>
      <c r="O28" s="33"/>
      <c r="P28" s="104"/>
      <c r="Q28" s="33"/>
      <c r="R28" s="80"/>
    </row>
    <row r="29" spans="1:18" ht="12.75">
      <c r="A29" s="30" t="s">
        <v>8</v>
      </c>
      <c r="B29" s="40" t="s">
        <v>210</v>
      </c>
      <c r="C29" s="118">
        <v>298</v>
      </c>
      <c r="D29" s="104">
        <v>411</v>
      </c>
      <c r="E29" s="104">
        <f t="shared" si="0"/>
        <v>709</v>
      </c>
      <c r="F29" s="108">
        <v>16</v>
      </c>
      <c r="G29" s="109">
        <f t="shared" si="1"/>
        <v>693</v>
      </c>
      <c r="H29" s="118">
        <v>91</v>
      </c>
      <c r="I29" s="110">
        <v>0</v>
      </c>
      <c r="J29" s="120">
        <f t="shared" si="4"/>
        <v>91</v>
      </c>
      <c r="K29" s="118">
        <f>E29+H29</f>
        <v>800</v>
      </c>
      <c r="L29" s="104">
        <f t="shared" si="6"/>
        <v>16</v>
      </c>
      <c r="M29" s="120">
        <f aca="true" t="shared" si="18" ref="M29:M34">K29-L29</f>
        <v>784</v>
      </c>
      <c r="N29" s="113">
        <v>3039</v>
      </c>
      <c r="O29" s="121">
        <v>1</v>
      </c>
      <c r="P29" s="104">
        <f>SUM(N29:O29)</f>
        <v>3040</v>
      </c>
      <c r="Q29" s="104">
        <f>K29</f>
        <v>800</v>
      </c>
      <c r="R29" s="86">
        <f aca="true" t="shared" si="19" ref="R29:R37">Q29/P29</f>
        <v>0.2631578947368421</v>
      </c>
    </row>
    <row r="30" spans="1:18" ht="12.75">
      <c r="A30" s="36"/>
      <c r="B30" s="40" t="s">
        <v>211</v>
      </c>
      <c r="C30" s="118">
        <v>272</v>
      </c>
      <c r="D30" s="104">
        <v>380</v>
      </c>
      <c r="E30" s="104">
        <f t="shared" si="0"/>
        <v>652</v>
      </c>
      <c r="F30" s="108">
        <v>6</v>
      </c>
      <c r="G30" s="109">
        <f t="shared" si="1"/>
        <v>646</v>
      </c>
      <c r="H30" s="118">
        <v>72</v>
      </c>
      <c r="I30" s="110">
        <v>0</v>
      </c>
      <c r="J30" s="120">
        <f t="shared" si="4"/>
        <v>72</v>
      </c>
      <c r="K30" s="118">
        <f aca="true" t="shared" si="20" ref="K30:K36">E30+H30</f>
        <v>724</v>
      </c>
      <c r="L30" s="104">
        <f t="shared" si="6"/>
        <v>6</v>
      </c>
      <c r="M30" s="120">
        <f t="shared" si="18"/>
        <v>718</v>
      </c>
      <c r="N30" s="119">
        <v>3089</v>
      </c>
      <c r="O30" s="104">
        <v>0</v>
      </c>
      <c r="P30" s="104">
        <f aca="true" t="shared" si="21" ref="P30:P36">SUM(N30:O30)</f>
        <v>3089</v>
      </c>
      <c r="Q30" s="104">
        <f aca="true" t="shared" si="22" ref="Q30:Q36">K30</f>
        <v>724</v>
      </c>
      <c r="R30" s="86">
        <f t="shared" si="19"/>
        <v>0.23438005827128522</v>
      </c>
    </row>
    <row r="31" spans="1:18" ht="12.75">
      <c r="A31" s="36"/>
      <c r="B31" s="40" t="s">
        <v>212</v>
      </c>
      <c r="C31" s="118">
        <v>250</v>
      </c>
      <c r="D31" s="104">
        <v>343</v>
      </c>
      <c r="E31" s="104">
        <f t="shared" si="0"/>
        <v>593</v>
      </c>
      <c r="F31" s="108">
        <v>4</v>
      </c>
      <c r="G31" s="109">
        <f t="shared" si="1"/>
        <v>589</v>
      </c>
      <c r="H31" s="118">
        <v>74</v>
      </c>
      <c r="I31" s="110">
        <v>0</v>
      </c>
      <c r="J31" s="120">
        <f t="shared" si="4"/>
        <v>74</v>
      </c>
      <c r="K31" s="118">
        <f t="shared" si="20"/>
        <v>667</v>
      </c>
      <c r="L31" s="104">
        <f t="shared" si="6"/>
        <v>4</v>
      </c>
      <c r="M31" s="120">
        <f t="shared" si="18"/>
        <v>663</v>
      </c>
      <c r="N31" s="119">
        <v>2912</v>
      </c>
      <c r="O31" s="104">
        <v>0</v>
      </c>
      <c r="P31" s="104">
        <f t="shared" si="21"/>
        <v>2912</v>
      </c>
      <c r="Q31" s="104">
        <f t="shared" si="22"/>
        <v>667</v>
      </c>
      <c r="R31" s="86">
        <f t="shared" si="19"/>
        <v>0.2290521978021978</v>
      </c>
    </row>
    <row r="32" spans="1:18" ht="12.75">
      <c r="A32" s="36"/>
      <c r="B32" s="38" t="s">
        <v>188</v>
      </c>
      <c r="C32" s="112">
        <v>79</v>
      </c>
      <c r="D32" s="110">
        <v>49</v>
      </c>
      <c r="E32" s="104">
        <f t="shared" si="0"/>
        <v>128</v>
      </c>
      <c r="F32" s="108">
        <v>2</v>
      </c>
      <c r="G32" s="109">
        <f t="shared" si="1"/>
        <v>126</v>
      </c>
      <c r="H32" s="118">
        <v>3</v>
      </c>
      <c r="I32" s="110">
        <v>0</v>
      </c>
      <c r="J32" s="120">
        <f t="shared" si="4"/>
        <v>3</v>
      </c>
      <c r="K32" s="118">
        <f t="shared" si="20"/>
        <v>131</v>
      </c>
      <c r="L32" s="104">
        <f t="shared" si="6"/>
        <v>2</v>
      </c>
      <c r="M32" s="120">
        <f t="shared" si="18"/>
        <v>129</v>
      </c>
      <c r="N32" s="119">
        <v>507</v>
      </c>
      <c r="O32" s="104">
        <v>0</v>
      </c>
      <c r="P32" s="104">
        <f t="shared" si="21"/>
        <v>507</v>
      </c>
      <c r="Q32" s="104">
        <f t="shared" si="22"/>
        <v>131</v>
      </c>
      <c r="R32" s="86">
        <f t="shared" si="19"/>
        <v>0.2583826429980276</v>
      </c>
    </row>
    <row r="33" spans="1:18" ht="12.75">
      <c r="A33" s="36"/>
      <c r="B33" s="38" t="s">
        <v>189</v>
      </c>
      <c r="C33" s="112">
        <v>84</v>
      </c>
      <c r="D33" s="110">
        <v>150</v>
      </c>
      <c r="E33" s="104">
        <f t="shared" si="0"/>
        <v>234</v>
      </c>
      <c r="F33" s="108">
        <v>7</v>
      </c>
      <c r="G33" s="109">
        <f t="shared" si="1"/>
        <v>227</v>
      </c>
      <c r="H33" s="118">
        <v>13</v>
      </c>
      <c r="I33" s="110">
        <v>0</v>
      </c>
      <c r="J33" s="120">
        <f t="shared" si="4"/>
        <v>13</v>
      </c>
      <c r="K33" s="118">
        <f t="shared" si="20"/>
        <v>247</v>
      </c>
      <c r="L33" s="104">
        <f t="shared" si="6"/>
        <v>7</v>
      </c>
      <c r="M33" s="120">
        <f t="shared" si="18"/>
        <v>240</v>
      </c>
      <c r="N33" s="119">
        <v>984</v>
      </c>
      <c r="O33" s="104">
        <v>0</v>
      </c>
      <c r="P33" s="104">
        <f t="shared" si="21"/>
        <v>984</v>
      </c>
      <c r="Q33" s="104">
        <f t="shared" si="22"/>
        <v>247</v>
      </c>
      <c r="R33" s="86">
        <f t="shared" si="19"/>
        <v>0.25101626016260165</v>
      </c>
    </row>
    <row r="34" spans="1:18" ht="12.75">
      <c r="A34" s="36"/>
      <c r="B34" s="38" t="s">
        <v>190</v>
      </c>
      <c r="C34" s="112">
        <v>220</v>
      </c>
      <c r="D34" s="110">
        <v>175</v>
      </c>
      <c r="E34" s="104">
        <f t="shared" si="0"/>
        <v>395</v>
      </c>
      <c r="F34" s="108">
        <v>7</v>
      </c>
      <c r="G34" s="109">
        <f t="shared" si="1"/>
        <v>388</v>
      </c>
      <c r="H34" s="118">
        <v>24</v>
      </c>
      <c r="I34" s="110">
        <v>0</v>
      </c>
      <c r="J34" s="120">
        <f t="shared" si="4"/>
        <v>24</v>
      </c>
      <c r="K34" s="118">
        <f t="shared" si="20"/>
        <v>419</v>
      </c>
      <c r="L34" s="104">
        <f t="shared" si="6"/>
        <v>7</v>
      </c>
      <c r="M34" s="120">
        <f t="shared" si="18"/>
        <v>412</v>
      </c>
      <c r="N34" s="119">
        <v>1757</v>
      </c>
      <c r="O34" s="104">
        <v>0</v>
      </c>
      <c r="P34" s="104">
        <f t="shared" si="21"/>
        <v>1757</v>
      </c>
      <c r="Q34" s="104">
        <f t="shared" si="22"/>
        <v>419</v>
      </c>
      <c r="R34" s="86">
        <f t="shared" si="19"/>
        <v>0.23847467273762094</v>
      </c>
    </row>
    <row r="35" spans="1:18" ht="12.75">
      <c r="A35" s="36"/>
      <c r="B35" s="73" t="s">
        <v>464</v>
      </c>
      <c r="C35" s="160">
        <f>SUM(C29:C34)</f>
        <v>1203</v>
      </c>
      <c r="D35" s="161">
        <f aca="true" t="shared" si="23" ref="D35:O35">SUM(D29:D34)</f>
        <v>1508</v>
      </c>
      <c r="E35" s="161">
        <f t="shared" si="23"/>
        <v>2711</v>
      </c>
      <c r="F35" s="161">
        <f t="shared" si="23"/>
        <v>42</v>
      </c>
      <c r="G35" s="162">
        <f t="shared" si="23"/>
        <v>2669</v>
      </c>
      <c r="H35" s="160">
        <f t="shared" si="23"/>
        <v>277</v>
      </c>
      <c r="I35" s="161">
        <f t="shared" si="23"/>
        <v>0</v>
      </c>
      <c r="J35" s="162">
        <f t="shared" si="23"/>
        <v>277</v>
      </c>
      <c r="K35" s="160">
        <f t="shared" si="23"/>
        <v>2988</v>
      </c>
      <c r="L35" s="161">
        <f t="shared" si="23"/>
        <v>42</v>
      </c>
      <c r="M35" s="162">
        <f t="shared" si="23"/>
        <v>2946</v>
      </c>
      <c r="N35" s="192">
        <f t="shared" si="23"/>
        <v>12288</v>
      </c>
      <c r="O35" s="161">
        <f t="shared" si="23"/>
        <v>1</v>
      </c>
      <c r="P35" s="33">
        <f t="shared" si="21"/>
        <v>12289</v>
      </c>
      <c r="Q35" s="33">
        <f t="shared" si="22"/>
        <v>2988</v>
      </c>
      <c r="R35" s="88">
        <f t="shared" si="19"/>
        <v>0.24314427536821548</v>
      </c>
    </row>
    <row r="36" spans="1:18" ht="12.75">
      <c r="A36" s="30" t="s">
        <v>9</v>
      </c>
      <c r="B36" s="38" t="s">
        <v>160</v>
      </c>
      <c r="C36" s="112">
        <v>37</v>
      </c>
      <c r="D36" s="110">
        <v>8</v>
      </c>
      <c r="E36" s="104">
        <f t="shared" si="0"/>
        <v>45</v>
      </c>
      <c r="F36" s="108">
        <v>0</v>
      </c>
      <c r="G36" s="109">
        <f t="shared" si="1"/>
        <v>45</v>
      </c>
      <c r="H36" s="118">
        <v>3</v>
      </c>
      <c r="I36" s="104">
        <v>0</v>
      </c>
      <c r="J36" s="120">
        <f t="shared" si="4"/>
        <v>3</v>
      </c>
      <c r="K36" s="118">
        <f t="shared" si="20"/>
        <v>48</v>
      </c>
      <c r="L36" s="104">
        <f t="shared" si="6"/>
        <v>0</v>
      </c>
      <c r="M36" s="120">
        <f>K36-L36</f>
        <v>48</v>
      </c>
      <c r="N36" s="119">
        <v>392</v>
      </c>
      <c r="O36" s="104">
        <v>0</v>
      </c>
      <c r="P36" s="104">
        <f t="shared" si="21"/>
        <v>392</v>
      </c>
      <c r="Q36" s="104">
        <f t="shared" si="22"/>
        <v>48</v>
      </c>
      <c r="R36" s="86">
        <f t="shared" si="19"/>
        <v>0.12244897959183673</v>
      </c>
    </row>
    <row r="37" spans="1:18" s="76" customFormat="1" ht="12.75">
      <c r="A37" s="54" t="s">
        <v>292</v>
      </c>
      <c r="B37" s="77"/>
      <c r="C37" s="114">
        <f>+C29+C30+C31+C32+C33+C34+C36</f>
        <v>1240</v>
      </c>
      <c r="D37" s="115">
        <f aca="true" t="shared" si="24" ref="D37:P37">+D29+D30+D31+D32+D33+D34+D36</f>
        <v>1516</v>
      </c>
      <c r="E37" s="115">
        <f t="shared" si="24"/>
        <v>2756</v>
      </c>
      <c r="F37" s="115">
        <f t="shared" si="24"/>
        <v>42</v>
      </c>
      <c r="G37" s="116">
        <f t="shared" si="24"/>
        <v>2714</v>
      </c>
      <c r="H37" s="114">
        <f t="shared" si="24"/>
        <v>280</v>
      </c>
      <c r="I37" s="115">
        <f t="shared" si="24"/>
        <v>0</v>
      </c>
      <c r="J37" s="116">
        <f t="shared" si="24"/>
        <v>280</v>
      </c>
      <c r="K37" s="114">
        <f t="shared" si="24"/>
        <v>3036</v>
      </c>
      <c r="L37" s="115">
        <f t="shared" si="24"/>
        <v>42</v>
      </c>
      <c r="M37" s="116">
        <f t="shared" si="24"/>
        <v>2994</v>
      </c>
      <c r="N37" s="117">
        <f t="shared" si="24"/>
        <v>12680</v>
      </c>
      <c r="O37" s="115">
        <f t="shared" si="24"/>
        <v>1</v>
      </c>
      <c r="P37" s="115">
        <f t="shared" si="24"/>
        <v>12681</v>
      </c>
      <c r="Q37" s="115">
        <f>SUM(Q29,Q30,Q31,Q32,Q33,Q34,Q36)</f>
        <v>3036</v>
      </c>
      <c r="R37" s="82">
        <f t="shared" si="19"/>
        <v>0.23941329548142892</v>
      </c>
    </row>
    <row r="38" spans="1:18" ht="12.75">
      <c r="A38" s="36" t="s">
        <v>235</v>
      </c>
      <c r="B38" s="53"/>
      <c r="C38" s="105"/>
      <c r="D38" s="33"/>
      <c r="E38" s="104"/>
      <c r="F38" s="33"/>
      <c r="G38" s="109"/>
      <c r="H38" s="105"/>
      <c r="I38" s="33"/>
      <c r="J38" s="106"/>
      <c r="K38" s="105"/>
      <c r="L38" s="104"/>
      <c r="M38" s="120"/>
      <c r="N38" s="93"/>
      <c r="O38" s="33"/>
      <c r="P38" s="104"/>
      <c r="Q38" s="33"/>
      <c r="R38" s="88"/>
    </row>
    <row r="39" spans="1:18" ht="12.75">
      <c r="A39" s="30" t="s">
        <v>94</v>
      </c>
      <c r="B39" s="38" t="s">
        <v>105</v>
      </c>
      <c r="C39" s="112">
        <v>190</v>
      </c>
      <c r="D39" s="110">
        <v>413</v>
      </c>
      <c r="E39" s="104">
        <f t="shared" si="0"/>
        <v>603</v>
      </c>
      <c r="F39" s="104">
        <v>33</v>
      </c>
      <c r="G39" s="109">
        <f t="shared" si="1"/>
        <v>570</v>
      </c>
      <c r="H39" s="118">
        <v>66</v>
      </c>
      <c r="I39" s="104">
        <v>1</v>
      </c>
      <c r="J39" s="120">
        <f t="shared" si="4"/>
        <v>65</v>
      </c>
      <c r="K39" s="118">
        <f>E39+H39</f>
        <v>669</v>
      </c>
      <c r="L39" s="104">
        <f t="shared" si="6"/>
        <v>34</v>
      </c>
      <c r="M39" s="120">
        <v>636</v>
      </c>
      <c r="N39" s="119">
        <v>2995</v>
      </c>
      <c r="O39" s="104">
        <v>0</v>
      </c>
      <c r="P39" s="104">
        <f aca="true" t="shared" si="25" ref="P39:P45">N39+O39</f>
        <v>2995</v>
      </c>
      <c r="Q39" s="103">
        <f>K39</f>
        <v>669</v>
      </c>
      <c r="R39" s="86">
        <f>Q39/P39</f>
        <v>0.22337228714524207</v>
      </c>
    </row>
    <row r="40" spans="1:18" ht="12.75">
      <c r="A40" s="30" t="s">
        <v>10</v>
      </c>
      <c r="B40" s="38" t="s">
        <v>106</v>
      </c>
      <c r="C40" s="112">
        <v>107</v>
      </c>
      <c r="D40" s="110">
        <v>229</v>
      </c>
      <c r="E40" s="104">
        <f t="shared" si="0"/>
        <v>336</v>
      </c>
      <c r="F40" s="104">
        <v>24</v>
      </c>
      <c r="G40" s="109">
        <f t="shared" si="1"/>
        <v>312</v>
      </c>
      <c r="H40" s="118">
        <v>28</v>
      </c>
      <c r="I40" s="110">
        <v>0</v>
      </c>
      <c r="J40" s="120">
        <f t="shared" si="4"/>
        <v>28</v>
      </c>
      <c r="K40" s="118">
        <f aca="true" t="shared" si="26" ref="K40:K45">E40+H40</f>
        <v>364</v>
      </c>
      <c r="L40" s="104">
        <f t="shared" si="6"/>
        <v>24</v>
      </c>
      <c r="M40" s="120">
        <f>K40-L40</f>
        <v>340</v>
      </c>
      <c r="N40" s="119">
        <v>1579</v>
      </c>
      <c r="O40" s="104">
        <v>0</v>
      </c>
      <c r="P40" s="104">
        <f t="shared" si="25"/>
        <v>1579</v>
      </c>
      <c r="Q40" s="104">
        <f aca="true" t="shared" si="27" ref="Q40:Q45">K40</f>
        <v>364</v>
      </c>
      <c r="R40" s="86">
        <f aca="true" t="shared" si="28" ref="R40:R45">Q40/P40</f>
        <v>0.2305256491450285</v>
      </c>
    </row>
    <row r="41" spans="1:18" s="97" customFormat="1" ht="12.75">
      <c r="A41" s="30" t="s">
        <v>22</v>
      </c>
      <c r="B41" s="38" t="s">
        <v>194</v>
      </c>
      <c r="C41" s="112">
        <v>18</v>
      </c>
      <c r="D41" s="110">
        <v>20</v>
      </c>
      <c r="E41" s="104">
        <f t="shared" si="0"/>
        <v>38</v>
      </c>
      <c r="F41" s="108">
        <v>0</v>
      </c>
      <c r="G41" s="109">
        <f t="shared" si="1"/>
        <v>38</v>
      </c>
      <c r="H41" s="118">
        <v>1</v>
      </c>
      <c r="I41" s="104">
        <v>0</v>
      </c>
      <c r="J41" s="120">
        <f t="shared" si="4"/>
        <v>1</v>
      </c>
      <c r="K41" s="118">
        <f t="shared" si="26"/>
        <v>39</v>
      </c>
      <c r="L41" s="104">
        <f t="shared" si="6"/>
        <v>0</v>
      </c>
      <c r="M41" s="120">
        <v>39</v>
      </c>
      <c r="N41" s="119">
        <v>128</v>
      </c>
      <c r="O41" s="104">
        <v>0</v>
      </c>
      <c r="P41" s="104">
        <f t="shared" si="25"/>
        <v>128</v>
      </c>
      <c r="Q41" s="104">
        <f t="shared" si="27"/>
        <v>39</v>
      </c>
      <c r="R41" s="86">
        <f t="shared" si="28"/>
        <v>0.3046875</v>
      </c>
    </row>
    <row r="42" spans="1:18" ht="12.75">
      <c r="A42" s="30" t="s">
        <v>23</v>
      </c>
      <c r="B42" s="38" t="s">
        <v>113</v>
      </c>
      <c r="C42" s="112">
        <v>18</v>
      </c>
      <c r="D42" s="110">
        <v>6</v>
      </c>
      <c r="E42" s="104">
        <f t="shared" si="0"/>
        <v>24</v>
      </c>
      <c r="F42" s="108">
        <v>1</v>
      </c>
      <c r="G42" s="109">
        <f>E42-F42</f>
        <v>23</v>
      </c>
      <c r="H42" s="118">
        <v>0</v>
      </c>
      <c r="I42" s="104">
        <v>0</v>
      </c>
      <c r="J42" s="120">
        <f t="shared" si="4"/>
        <v>0</v>
      </c>
      <c r="K42" s="118">
        <f t="shared" si="26"/>
        <v>24</v>
      </c>
      <c r="L42" s="104">
        <f t="shared" si="6"/>
        <v>1</v>
      </c>
      <c r="M42" s="120">
        <f>K42-L42</f>
        <v>23</v>
      </c>
      <c r="N42" s="119">
        <v>68</v>
      </c>
      <c r="O42" s="104">
        <v>0</v>
      </c>
      <c r="P42" s="104">
        <f t="shared" si="25"/>
        <v>68</v>
      </c>
      <c r="Q42" s="104">
        <f t="shared" si="27"/>
        <v>24</v>
      </c>
      <c r="R42" s="86">
        <f t="shared" si="28"/>
        <v>0.35294117647058826</v>
      </c>
    </row>
    <row r="43" spans="1:18" ht="12.75">
      <c r="A43" s="30" t="s">
        <v>27</v>
      </c>
      <c r="B43" s="38" t="s">
        <v>193</v>
      </c>
      <c r="C43" s="112">
        <v>16</v>
      </c>
      <c r="D43" s="110">
        <v>16</v>
      </c>
      <c r="E43" s="104">
        <f t="shared" si="0"/>
        <v>32</v>
      </c>
      <c r="F43" s="108">
        <v>0</v>
      </c>
      <c r="G43" s="109">
        <f aca="true" t="shared" si="29" ref="G43:G109">E43-F43</f>
        <v>32</v>
      </c>
      <c r="H43" s="118">
        <v>1</v>
      </c>
      <c r="I43" s="121">
        <v>0</v>
      </c>
      <c r="J43" s="120">
        <f t="shared" si="4"/>
        <v>1</v>
      </c>
      <c r="K43" s="118">
        <f t="shared" si="26"/>
        <v>33</v>
      </c>
      <c r="L43" s="104">
        <f t="shared" si="6"/>
        <v>0</v>
      </c>
      <c r="M43" s="120">
        <f>K43-L43</f>
        <v>33</v>
      </c>
      <c r="N43" s="119">
        <v>135</v>
      </c>
      <c r="O43" s="104">
        <v>0</v>
      </c>
      <c r="P43" s="104">
        <f t="shared" si="25"/>
        <v>135</v>
      </c>
      <c r="Q43" s="104">
        <f t="shared" si="27"/>
        <v>33</v>
      </c>
      <c r="R43" s="86">
        <f t="shared" si="28"/>
        <v>0.24444444444444444</v>
      </c>
    </row>
    <row r="44" spans="1:18" ht="12.75">
      <c r="A44" s="30" t="s">
        <v>28</v>
      </c>
      <c r="B44" s="38" t="s">
        <v>168</v>
      </c>
      <c r="C44" s="112">
        <v>21</v>
      </c>
      <c r="D44" s="110">
        <v>16</v>
      </c>
      <c r="E44" s="104">
        <f>SUM(C44:D44)</f>
        <v>37</v>
      </c>
      <c r="F44" s="108">
        <v>0</v>
      </c>
      <c r="G44" s="109">
        <f t="shared" si="29"/>
        <v>37</v>
      </c>
      <c r="H44" s="118">
        <v>3</v>
      </c>
      <c r="I44" s="110">
        <v>0</v>
      </c>
      <c r="J44" s="120">
        <f t="shared" si="4"/>
        <v>3</v>
      </c>
      <c r="K44" s="118">
        <f t="shared" si="26"/>
        <v>40</v>
      </c>
      <c r="L44" s="104">
        <f t="shared" si="6"/>
        <v>0</v>
      </c>
      <c r="M44" s="120">
        <f>K44-L44</f>
        <v>40</v>
      </c>
      <c r="N44" s="119">
        <v>169</v>
      </c>
      <c r="O44" s="104">
        <v>0</v>
      </c>
      <c r="P44" s="104">
        <f t="shared" si="25"/>
        <v>169</v>
      </c>
      <c r="Q44" s="104">
        <f t="shared" si="27"/>
        <v>40</v>
      </c>
      <c r="R44" s="86">
        <f t="shared" si="28"/>
        <v>0.23668639053254437</v>
      </c>
    </row>
    <row r="45" spans="1:18" ht="12.75">
      <c r="A45" s="30" t="s">
        <v>24</v>
      </c>
      <c r="B45" s="38" t="s">
        <v>167</v>
      </c>
      <c r="C45" s="112">
        <v>42</v>
      </c>
      <c r="D45" s="110">
        <v>26</v>
      </c>
      <c r="E45" s="104">
        <f>SUM(C45:D45)</f>
        <v>68</v>
      </c>
      <c r="F45" s="108">
        <v>0</v>
      </c>
      <c r="G45" s="109">
        <f t="shared" si="29"/>
        <v>68</v>
      </c>
      <c r="H45" s="118">
        <v>8</v>
      </c>
      <c r="I45" s="121">
        <v>0</v>
      </c>
      <c r="J45" s="120">
        <f t="shared" si="4"/>
        <v>8</v>
      </c>
      <c r="K45" s="118">
        <f t="shared" si="26"/>
        <v>76</v>
      </c>
      <c r="L45" s="104">
        <f t="shared" si="6"/>
        <v>0</v>
      </c>
      <c r="M45" s="120">
        <f>K45-L45</f>
        <v>76</v>
      </c>
      <c r="N45" s="119">
        <v>240</v>
      </c>
      <c r="O45" s="104">
        <v>0</v>
      </c>
      <c r="P45" s="104">
        <f t="shared" si="25"/>
        <v>240</v>
      </c>
      <c r="Q45" s="104">
        <f t="shared" si="27"/>
        <v>76</v>
      </c>
      <c r="R45" s="86">
        <f t="shared" si="28"/>
        <v>0.31666666666666665</v>
      </c>
    </row>
    <row r="46" spans="1:18" s="76" customFormat="1" ht="12.75">
      <c r="A46" s="54" t="s">
        <v>293</v>
      </c>
      <c r="B46" s="77"/>
      <c r="C46" s="114">
        <f>+C39+C40+C41+C42+C43+C44+C45</f>
        <v>412</v>
      </c>
      <c r="D46" s="115">
        <f aca="true" t="shared" si="30" ref="D46:Q46">+D39+D42+D40+D41+D43+D44+D45</f>
        <v>726</v>
      </c>
      <c r="E46" s="115">
        <f t="shared" si="30"/>
        <v>1138</v>
      </c>
      <c r="F46" s="115">
        <f t="shared" si="30"/>
        <v>58</v>
      </c>
      <c r="G46" s="116">
        <f t="shared" si="30"/>
        <v>1080</v>
      </c>
      <c r="H46" s="114">
        <f t="shared" si="30"/>
        <v>107</v>
      </c>
      <c r="I46" s="115">
        <f t="shared" si="30"/>
        <v>1</v>
      </c>
      <c r="J46" s="116">
        <f>SUM(J39,J40,J41,J42,J43,J44,J45)</f>
        <v>106</v>
      </c>
      <c r="K46" s="114">
        <f t="shared" si="30"/>
        <v>1245</v>
      </c>
      <c r="L46" s="115">
        <f t="shared" si="30"/>
        <v>59</v>
      </c>
      <c r="M46" s="116">
        <f t="shared" si="30"/>
        <v>1187</v>
      </c>
      <c r="N46" s="117">
        <f t="shared" si="30"/>
        <v>5314</v>
      </c>
      <c r="O46" s="115">
        <f t="shared" si="30"/>
        <v>0</v>
      </c>
      <c r="P46" s="115">
        <f t="shared" si="30"/>
        <v>5314</v>
      </c>
      <c r="Q46" s="115">
        <f t="shared" si="30"/>
        <v>1245</v>
      </c>
      <c r="R46" s="82">
        <f>Q46/P46</f>
        <v>0.23428678961234475</v>
      </c>
    </row>
    <row r="47" spans="1:18" s="39" customFormat="1" ht="12.75">
      <c r="A47" s="36" t="s">
        <v>234</v>
      </c>
      <c r="B47" s="53"/>
      <c r="C47" s="105"/>
      <c r="D47" s="33"/>
      <c r="E47" s="33"/>
      <c r="F47" s="33"/>
      <c r="G47" s="109"/>
      <c r="H47" s="105"/>
      <c r="I47" s="33"/>
      <c r="J47" s="106"/>
      <c r="K47" s="105"/>
      <c r="L47" s="104"/>
      <c r="M47" s="120"/>
      <c r="N47" s="93"/>
      <c r="O47" s="33"/>
      <c r="P47" s="104"/>
      <c r="Q47" s="33"/>
      <c r="R47" s="88"/>
    </row>
    <row r="48" spans="1:18" s="39" customFormat="1" ht="12.75">
      <c r="A48" s="30" t="s">
        <v>11</v>
      </c>
      <c r="B48" s="40" t="s">
        <v>213</v>
      </c>
      <c r="C48" s="118">
        <v>261</v>
      </c>
      <c r="D48" s="104">
        <v>433</v>
      </c>
      <c r="E48" s="104">
        <f aca="true" t="shared" si="31" ref="E48:E116">SUM(C48:D48)</f>
        <v>694</v>
      </c>
      <c r="F48" s="218">
        <v>36</v>
      </c>
      <c r="G48" s="127">
        <f t="shared" si="29"/>
        <v>658</v>
      </c>
      <c r="H48" s="118">
        <v>43</v>
      </c>
      <c r="I48" s="110">
        <v>0</v>
      </c>
      <c r="J48" s="120">
        <f t="shared" si="4"/>
        <v>43</v>
      </c>
      <c r="K48" s="118">
        <f>E48+H48</f>
        <v>737</v>
      </c>
      <c r="L48" s="104">
        <f t="shared" si="6"/>
        <v>36</v>
      </c>
      <c r="M48" s="120">
        <v>701</v>
      </c>
      <c r="N48" s="119">
        <v>2966</v>
      </c>
      <c r="O48" s="104">
        <v>6</v>
      </c>
      <c r="P48" s="104">
        <f>SUM(N48:O48)</f>
        <v>2972</v>
      </c>
      <c r="Q48" s="104">
        <f>K48</f>
        <v>737</v>
      </c>
      <c r="R48" s="86">
        <f>Q48/P48</f>
        <v>0.24798115746971736</v>
      </c>
    </row>
    <row r="49" spans="1:18" s="39" customFormat="1" ht="12.75">
      <c r="A49" s="35"/>
      <c r="B49" s="40" t="s">
        <v>214</v>
      </c>
      <c r="C49" s="118">
        <v>242</v>
      </c>
      <c r="D49" s="104">
        <v>541</v>
      </c>
      <c r="E49" s="104">
        <f t="shared" si="31"/>
        <v>783</v>
      </c>
      <c r="F49" s="108">
        <v>148</v>
      </c>
      <c r="G49" s="109">
        <f t="shared" si="29"/>
        <v>635</v>
      </c>
      <c r="H49" s="118">
        <v>29</v>
      </c>
      <c r="I49" s="110">
        <v>0</v>
      </c>
      <c r="J49" s="120">
        <f t="shared" si="4"/>
        <v>29</v>
      </c>
      <c r="K49" s="118">
        <f aca="true" t="shared" si="32" ref="K49:K59">E49+H49</f>
        <v>812</v>
      </c>
      <c r="L49" s="104">
        <f t="shared" si="6"/>
        <v>148</v>
      </c>
      <c r="M49" s="120">
        <v>664</v>
      </c>
      <c r="N49" s="119">
        <v>2937</v>
      </c>
      <c r="O49" s="104">
        <v>4</v>
      </c>
      <c r="P49" s="104">
        <f aca="true" t="shared" si="33" ref="P49:P59">SUM(N49:O49)</f>
        <v>2941</v>
      </c>
      <c r="Q49" s="104">
        <f aca="true" t="shared" si="34" ref="Q49:Q59">K49</f>
        <v>812</v>
      </c>
      <c r="R49" s="86">
        <f>Q49/P49</f>
        <v>0.27609656579394765</v>
      </c>
    </row>
    <row r="50" spans="1:18" s="39" customFormat="1" ht="12.75">
      <c r="A50" s="36"/>
      <c r="B50" s="40" t="s">
        <v>215</v>
      </c>
      <c r="C50" s="118">
        <v>369</v>
      </c>
      <c r="D50" s="104">
        <v>642</v>
      </c>
      <c r="E50" s="104">
        <f t="shared" si="31"/>
        <v>1011</v>
      </c>
      <c r="F50" s="108">
        <v>101</v>
      </c>
      <c r="G50" s="109">
        <f t="shared" si="29"/>
        <v>910</v>
      </c>
      <c r="H50" s="118">
        <v>30</v>
      </c>
      <c r="I50" s="110">
        <v>0</v>
      </c>
      <c r="J50" s="120">
        <f t="shared" si="4"/>
        <v>30</v>
      </c>
      <c r="K50" s="118">
        <f t="shared" si="32"/>
        <v>1041</v>
      </c>
      <c r="L50" s="104">
        <f t="shared" si="6"/>
        <v>101</v>
      </c>
      <c r="M50" s="120">
        <v>940</v>
      </c>
      <c r="N50" s="119">
        <v>3224</v>
      </c>
      <c r="O50" s="104">
        <v>2</v>
      </c>
      <c r="P50" s="104">
        <f t="shared" si="33"/>
        <v>3226</v>
      </c>
      <c r="Q50" s="104">
        <f t="shared" si="34"/>
        <v>1041</v>
      </c>
      <c r="R50" s="86">
        <f>Q50/P50</f>
        <v>0.3226906385616863</v>
      </c>
    </row>
    <row r="51" spans="1:18" s="39" customFormat="1" ht="12.75">
      <c r="A51" s="36"/>
      <c r="B51" s="53" t="s">
        <v>465</v>
      </c>
      <c r="C51" s="105">
        <f>SUM(C48:C50)</f>
        <v>872</v>
      </c>
      <c r="D51" s="33">
        <f aca="true" t="shared" si="35" ref="D51:O51">SUM(D48:D50)</f>
        <v>1616</v>
      </c>
      <c r="E51" s="33">
        <f t="shared" si="35"/>
        <v>2488</v>
      </c>
      <c r="F51" s="33">
        <f t="shared" si="35"/>
        <v>285</v>
      </c>
      <c r="G51" s="106">
        <f t="shared" si="35"/>
        <v>2203</v>
      </c>
      <c r="H51" s="105">
        <f t="shared" si="35"/>
        <v>102</v>
      </c>
      <c r="I51" s="33">
        <f t="shared" si="35"/>
        <v>0</v>
      </c>
      <c r="J51" s="106">
        <f t="shared" si="35"/>
        <v>102</v>
      </c>
      <c r="K51" s="105">
        <f t="shared" si="35"/>
        <v>2590</v>
      </c>
      <c r="L51" s="33">
        <f t="shared" si="35"/>
        <v>285</v>
      </c>
      <c r="M51" s="106">
        <f t="shared" si="35"/>
        <v>2305</v>
      </c>
      <c r="N51" s="93">
        <f t="shared" si="35"/>
        <v>9127</v>
      </c>
      <c r="O51" s="33">
        <f t="shared" si="35"/>
        <v>12</v>
      </c>
      <c r="P51" s="33">
        <f t="shared" si="33"/>
        <v>9139</v>
      </c>
      <c r="Q51" s="33">
        <f t="shared" si="34"/>
        <v>2590</v>
      </c>
      <c r="R51" s="88">
        <f aca="true" t="shared" si="36" ref="R51:R60">Q51/P51</f>
        <v>0.2834008097165992</v>
      </c>
    </row>
    <row r="52" spans="1:18" s="39" customFormat="1" ht="12.75">
      <c r="A52" s="30" t="s">
        <v>99</v>
      </c>
      <c r="B52" s="38" t="s">
        <v>161</v>
      </c>
      <c r="C52" s="112">
        <v>178</v>
      </c>
      <c r="D52" s="110">
        <v>207</v>
      </c>
      <c r="E52" s="104">
        <f t="shared" si="31"/>
        <v>385</v>
      </c>
      <c r="F52" s="108">
        <v>63</v>
      </c>
      <c r="G52" s="109">
        <f t="shared" si="29"/>
        <v>322</v>
      </c>
      <c r="H52" s="118">
        <v>5</v>
      </c>
      <c r="I52" s="104">
        <v>0</v>
      </c>
      <c r="J52" s="120">
        <f t="shared" si="4"/>
        <v>5</v>
      </c>
      <c r="K52" s="118">
        <f t="shared" si="32"/>
        <v>390</v>
      </c>
      <c r="L52" s="104">
        <f t="shared" si="6"/>
        <v>63</v>
      </c>
      <c r="M52" s="120">
        <f>K52-L52</f>
        <v>327</v>
      </c>
      <c r="N52" s="119">
        <v>1525</v>
      </c>
      <c r="O52" s="104">
        <v>0</v>
      </c>
      <c r="P52" s="104">
        <f t="shared" si="33"/>
        <v>1525</v>
      </c>
      <c r="Q52" s="104">
        <f t="shared" si="34"/>
        <v>390</v>
      </c>
      <c r="R52" s="86">
        <f t="shared" si="36"/>
        <v>0.25573770491803277</v>
      </c>
    </row>
    <row r="53" spans="1:18" s="39" customFormat="1" ht="12.75">
      <c r="A53" s="30" t="s">
        <v>12</v>
      </c>
      <c r="B53" s="38" t="s">
        <v>162</v>
      </c>
      <c r="C53" s="112">
        <v>118</v>
      </c>
      <c r="D53" s="110">
        <v>360</v>
      </c>
      <c r="E53" s="104">
        <f t="shared" si="31"/>
        <v>478</v>
      </c>
      <c r="F53" s="108">
        <v>36</v>
      </c>
      <c r="G53" s="109">
        <f t="shared" si="29"/>
        <v>442</v>
      </c>
      <c r="H53" s="118">
        <v>12</v>
      </c>
      <c r="I53" s="104">
        <v>0</v>
      </c>
      <c r="J53" s="120">
        <f t="shared" si="4"/>
        <v>12</v>
      </c>
      <c r="K53" s="118">
        <f t="shared" si="32"/>
        <v>490</v>
      </c>
      <c r="L53" s="104">
        <f t="shared" si="6"/>
        <v>36</v>
      </c>
      <c r="M53" s="120">
        <f>K53-L53</f>
        <v>454</v>
      </c>
      <c r="N53" s="119">
        <v>1208</v>
      </c>
      <c r="O53" s="104">
        <v>0</v>
      </c>
      <c r="P53" s="104">
        <f t="shared" si="33"/>
        <v>1208</v>
      </c>
      <c r="Q53" s="104">
        <f t="shared" si="34"/>
        <v>490</v>
      </c>
      <c r="R53" s="86">
        <f t="shared" si="36"/>
        <v>0.4056291390728477</v>
      </c>
    </row>
    <row r="54" spans="1:18" s="39" customFormat="1" ht="12.75">
      <c r="A54" s="30" t="s">
        <v>13</v>
      </c>
      <c r="B54" s="38" t="s">
        <v>163</v>
      </c>
      <c r="C54" s="112">
        <v>171</v>
      </c>
      <c r="D54" s="110">
        <v>331</v>
      </c>
      <c r="E54" s="104">
        <f t="shared" si="31"/>
        <v>502</v>
      </c>
      <c r="F54" s="108">
        <v>33</v>
      </c>
      <c r="G54" s="109">
        <f t="shared" si="29"/>
        <v>469</v>
      </c>
      <c r="H54" s="118">
        <v>8</v>
      </c>
      <c r="I54" s="104">
        <v>0</v>
      </c>
      <c r="J54" s="120">
        <f t="shared" si="4"/>
        <v>8</v>
      </c>
      <c r="K54" s="118">
        <f t="shared" si="32"/>
        <v>510</v>
      </c>
      <c r="L54" s="104">
        <f t="shared" si="6"/>
        <v>33</v>
      </c>
      <c r="M54" s="120">
        <f>K54-L54</f>
        <v>477</v>
      </c>
      <c r="N54" s="119">
        <v>1291</v>
      </c>
      <c r="O54" s="104">
        <v>0</v>
      </c>
      <c r="P54" s="104">
        <f t="shared" si="33"/>
        <v>1291</v>
      </c>
      <c r="Q54" s="104">
        <f t="shared" si="34"/>
        <v>510</v>
      </c>
      <c r="R54" s="86">
        <f t="shared" si="36"/>
        <v>0.39504260263361735</v>
      </c>
    </row>
    <row r="55" spans="1:18" s="39" customFormat="1" ht="12.75">
      <c r="A55" s="30" t="s">
        <v>14</v>
      </c>
      <c r="B55" s="38" t="s">
        <v>216</v>
      </c>
      <c r="C55" s="112">
        <v>221</v>
      </c>
      <c r="D55" s="110">
        <v>798</v>
      </c>
      <c r="E55" s="104">
        <f t="shared" si="31"/>
        <v>1019</v>
      </c>
      <c r="F55" s="108">
        <v>49</v>
      </c>
      <c r="G55" s="109">
        <f t="shared" si="29"/>
        <v>970</v>
      </c>
      <c r="H55" s="118">
        <v>42</v>
      </c>
      <c r="I55" s="110">
        <v>0</v>
      </c>
      <c r="J55" s="120">
        <f t="shared" si="4"/>
        <v>42</v>
      </c>
      <c r="K55" s="118">
        <f t="shared" si="32"/>
        <v>1061</v>
      </c>
      <c r="L55" s="104">
        <f t="shared" si="6"/>
        <v>49</v>
      </c>
      <c r="M55" s="120">
        <f>K55-L55</f>
        <v>1012</v>
      </c>
      <c r="N55" s="119">
        <v>2809</v>
      </c>
      <c r="O55" s="104">
        <v>0</v>
      </c>
      <c r="P55" s="104">
        <f t="shared" si="33"/>
        <v>2809</v>
      </c>
      <c r="Q55" s="104">
        <f t="shared" si="34"/>
        <v>1061</v>
      </c>
      <c r="R55" s="86">
        <f t="shared" si="36"/>
        <v>0.3777144891420434</v>
      </c>
    </row>
    <row r="56" spans="1:18" s="39" customFormat="1" ht="12.75">
      <c r="A56" s="35"/>
      <c r="B56" s="38" t="s">
        <v>217</v>
      </c>
      <c r="C56" s="112">
        <v>172</v>
      </c>
      <c r="D56" s="110">
        <v>662</v>
      </c>
      <c r="E56" s="104">
        <f t="shared" si="31"/>
        <v>834</v>
      </c>
      <c r="F56" s="108">
        <v>39</v>
      </c>
      <c r="G56" s="109">
        <f t="shared" si="29"/>
        <v>795</v>
      </c>
      <c r="H56" s="118">
        <v>55</v>
      </c>
      <c r="I56" s="104">
        <v>0</v>
      </c>
      <c r="J56" s="120">
        <f t="shared" si="4"/>
        <v>55</v>
      </c>
      <c r="K56" s="118">
        <f t="shared" si="32"/>
        <v>889</v>
      </c>
      <c r="L56" s="104">
        <f t="shared" si="6"/>
        <v>39</v>
      </c>
      <c r="M56" s="120">
        <v>851</v>
      </c>
      <c r="N56" s="119">
        <v>2653</v>
      </c>
      <c r="O56" s="104">
        <v>3</v>
      </c>
      <c r="P56" s="104">
        <f t="shared" si="33"/>
        <v>2656</v>
      </c>
      <c r="Q56" s="104">
        <f t="shared" si="34"/>
        <v>889</v>
      </c>
      <c r="R56" s="86">
        <f t="shared" si="36"/>
        <v>0.33471385542168675</v>
      </c>
    </row>
    <row r="57" spans="1:18" s="75" customFormat="1" ht="12.75">
      <c r="A57" s="178"/>
      <c r="B57" s="73" t="s">
        <v>466</v>
      </c>
      <c r="C57" s="160">
        <f>SUM(C55:C56)</f>
        <v>393</v>
      </c>
      <c r="D57" s="161">
        <f aca="true" t="shared" si="37" ref="D57:O57">SUM(D55:D56)</f>
        <v>1460</v>
      </c>
      <c r="E57" s="161">
        <f t="shared" si="37"/>
        <v>1853</v>
      </c>
      <c r="F57" s="161">
        <f t="shared" si="37"/>
        <v>88</v>
      </c>
      <c r="G57" s="162">
        <f t="shared" si="37"/>
        <v>1765</v>
      </c>
      <c r="H57" s="160">
        <f t="shared" si="37"/>
        <v>97</v>
      </c>
      <c r="I57" s="161">
        <f t="shared" si="37"/>
        <v>0</v>
      </c>
      <c r="J57" s="162">
        <f t="shared" si="37"/>
        <v>97</v>
      </c>
      <c r="K57" s="160">
        <f t="shared" si="37"/>
        <v>1950</v>
      </c>
      <c r="L57" s="161">
        <f t="shared" si="37"/>
        <v>88</v>
      </c>
      <c r="M57" s="162">
        <f t="shared" si="37"/>
        <v>1863</v>
      </c>
      <c r="N57" s="192">
        <f t="shared" si="37"/>
        <v>5462</v>
      </c>
      <c r="O57" s="161">
        <f t="shared" si="37"/>
        <v>3</v>
      </c>
      <c r="P57" s="33">
        <f t="shared" si="33"/>
        <v>5465</v>
      </c>
      <c r="Q57" s="33">
        <f t="shared" si="34"/>
        <v>1950</v>
      </c>
      <c r="R57" s="88">
        <f>Q57/P57</f>
        <v>0.35681610247026535</v>
      </c>
    </row>
    <row r="58" spans="1:18" s="39" customFormat="1" ht="12.75">
      <c r="A58" s="30" t="s">
        <v>15</v>
      </c>
      <c r="B58" s="38" t="s">
        <v>129</v>
      </c>
      <c r="C58" s="112">
        <v>128</v>
      </c>
      <c r="D58" s="110">
        <v>84</v>
      </c>
      <c r="E58" s="104">
        <f t="shared" si="31"/>
        <v>212</v>
      </c>
      <c r="F58" s="108">
        <v>20</v>
      </c>
      <c r="G58" s="109">
        <f t="shared" si="29"/>
        <v>192</v>
      </c>
      <c r="H58" s="118">
        <v>1</v>
      </c>
      <c r="I58" s="104">
        <v>0</v>
      </c>
      <c r="J58" s="120">
        <f t="shared" si="4"/>
        <v>1</v>
      </c>
      <c r="K58" s="118">
        <f t="shared" si="32"/>
        <v>213</v>
      </c>
      <c r="L58" s="104">
        <f t="shared" si="6"/>
        <v>20</v>
      </c>
      <c r="M58" s="120">
        <v>193</v>
      </c>
      <c r="N58" s="119">
        <v>842</v>
      </c>
      <c r="O58" s="104">
        <v>0</v>
      </c>
      <c r="P58" s="104">
        <f t="shared" si="33"/>
        <v>842</v>
      </c>
      <c r="Q58" s="104">
        <f t="shared" si="34"/>
        <v>213</v>
      </c>
      <c r="R58" s="86">
        <f t="shared" si="36"/>
        <v>0.2529691211401425</v>
      </c>
    </row>
    <row r="59" spans="1:18" s="39" customFormat="1" ht="12.75">
      <c r="A59" s="30" t="s">
        <v>16</v>
      </c>
      <c r="B59" s="38" t="s">
        <v>182</v>
      </c>
      <c r="C59" s="112">
        <v>45</v>
      </c>
      <c r="D59" s="110">
        <v>65</v>
      </c>
      <c r="E59" s="104">
        <f t="shared" si="31"/>
        <v>110</v>
      </c>
      <c r="F59" s="108">
        <v>6</v>
      </c>
      <c r="G59" s="109">
        <f t="shared" si="29"/>
        <v>104</v>
      </c>
      <c r="H59" s="118">
        <v>4</v>
      </c>
      <c r="I59" s="104">
        <v>0</v>
      </c>
      <c r="J59" s="120">
        <f t="shared" si="4"/>
        <v>4</v>
      </c>
      <c r="K59" s="118">
        <f t="shared" si="32"/>
        <v>114</v>
      </c>
      <c r="L59" s="104">
        <f t="shared" si="6"/>
        <v>6</v>
      </c>
      <c r="M59" s="120">
        <f>K59-L59</f>
        <v>108</v>
      </c>
      <c r="N59" s="119">
        <v>313</v>
      </c>
      <c r="O59" s="104">
        <v>0</v>
      </c>
      <c r="P59" s="104">
        <f t="shared" si="33"/>
        <v>313</v>
      </c>
      <c r="Q59" s="104">
        <f t="shared" si="34"/>
        <v>114</v>
      </c>
      <c r="R59" s="86">
        <f t="shared" si="36"/>
        <v>0.36421725239616615</v>
      </c>
    </row>
    <row r="60" spans="1:18" s="95" customFormat="1" ht="12.75">
      <c r="A60" s="54" t="s">
        <v>292</v>
      </c>
      <c r="B60" s="77"/>
      <c r="C60" s="114">
        <f>C48+C49+C50+C52+C53+C54+C55+C56+C58+C59</f>
        <v>1905</v>
      </c>
      <c r="D60" s="115">
        <f aca="true" t="shared" si="38" ref="D60:Q60">D48+D49+D50+D52+D53+D54+D55+D56+D58+D59</f>
        <v>4123</v>
      </c>
      <c r="E60" s="115">
        <f t="shared" si="38"/>
        <v>6028</v>
      </c>
      <c r="F60" s="115">
        <f t="shared" si="38"/>
        <v>531</v>
      </c>
      <c r="G60" s="116">
        <f t="shared" si="38"/>
        <v>5497</v>
      </c>
      <c r="H60" s="114">
        <f t="shared" si="38"/>
        <v>229</v>
      </c>
      <c r="I60" s="115">
        <f t="shared" si="38"/>
        <v>0</v>
      </c>
      <c r="J60" s="116">
        <f t="shared" si="38"/>
        <v>229</v>
      </c>
      <c r="K60" s="114">
        <f t="shared" si="38"/>
        <v>6257</v>
      </c>
      <c r="L60" s="115">
        <f t="shared" si="38"/>
        <v>531</v>
      </c>
      <c r="M60" s="116">
        <f t="shared" si="38"/>
        <v>5727</v>
      </c>
      <c r="N60" s="117">
        <f t="shared" si="38"/>
        <v>19768</v>
      </c>
      <c r="O60" s="115">
        <f t="shared" si="38"/>
        <v>15</v>
      </c>
      <c r="P60" s="115">
        <f t="shared" si="38"/>
        <v>19783</v>
      </c>
      <c r="Q60" s="115">
        <f t="shared" si="38"/>
        <v>6257</v>
      </c>
      <c r="R60" s="179">
        <f t="shared" si="36"/>
        <v>0.3162816559672446</v>
      </c>
    </row>
    <row r="61" spans="1:18" ht="12.75">
      <c r="A61" s="36" t="s">
        <v>236</v>
      </c>
      <c r="B61" s="53"/>
      <c r="C61" s="105"/>
      <c r="D61" s="33"/>
      <c r="E61" s="104"/>
      <c r="F61" s="33"/>
      <c r="G61" s="109"/>
      <c r="H61" s="105"/>
      <c r="I61" s="33"/>
      <c r="J61" s="106"/>
      <c r="K61" s="105"/>
      <c r="L61" s="104"/>
      <c r="M61" s="120"/>
      <c r="N61" s="93"/>
      <c r="O61" s="33"/>
      <c r="P61" s="104"/>
      <c r="Q61" s="33"/>
      <c r="R61" s="88"/>
    </row>
    <row r="62" spans="1:18" ht="12.75">
      <c r="A62" s="30" t="s">
        <v>17</v>
      </c>
      <c r="B62" s="38" t="s">
        <v>135</v>
      </c>
      <c r="C62" s="112">
        <v>145</v>
      </c>
      <c r="D62" s="110">
        <v>359</v>
      </c>
      <c r="E62" s="104">
        <f t="shared" si="31"/>
        <v>504</v>
      </c>
      <c r="F62" s="108">
        <v>15</v>
      </c>
      <c r="G62" s="109">
        <f t="shared" si="29"/>
        <v>489</v>
      </c>
      <c r="H62" s="118">
        <v>64</v>
      </c>
      <c r="I62" s="104">
        <v>0</v>
      </c>
      <c r="J62" s="120">
        <f t="shared" si="4"/>
        <v>64</v>
      </c>
      <c r="K62" s="118">
        <f>E62+H62</f>
        <v>568</v>
      </c>
      <c r="L62" s="104">
        <f t="shared" si="6"/>
        <v>15</v>
      </c>
      <c r="M62" s="120">
        <v>1081</v>
      </c>
      <c r="N62" s="119">
        <v>3093</v>
      </c>
      <c r="O62" s="104">
        <v>10</v>
      </c>
      <c r="P62" s="104">
        <f>N62+O62</f>
        <v>3103</v>
      </c>
      <c r="Q62" s="104">
        <f>K62</f>
        <v>568</v>
      </c>
      <c r="R62" s="86">
        <f>Q62/P62</f>
        <v>0.18304866258459554</v>
      </c>
    </row>
    <row r="63" spans="1:18" ht="12.75">
      <c r="A63" s="30" t="s">
        <v>18</v>
      </c>
      <c r="B63" s="38" t="s">
        <v>134</v>
      </c>
      <c r="C63" s="112">
        <v>39</v>
      </c>
      <c r="D63" s="110">
        <v>7</v>
      </c>
      <c r="E63" s="104">
        <v>46</v>
      </c>
      <c r="F63" s="103">
        <v>1</v>
      </c>
      <c r="G63" s="127">
        <f t="shared" si="29"/>
        <v>45</v>
      </c>
      <c r="H63" s="118">
        <v>9</v>
      </c>
      <c r="I63" s="110">
        <v>0</v>
      </c>
      <c r="J63" s="120">
        <f t="shared" si="4"/>
        <v>9</v>
      </c>
      <c r="K63" s="118">
        <f>E63+H63</f>
        <v>55</v>
      </c>
      <c r="L63" s="104">
        <f t="shared" si="6"/>
        <v>1</v>
      </c>
      <c r="M63" s="120">
        <v>54</v>
      </c>
      <c r="N63" s="119">
        <v>435</v>
      </c>
      <c r="O63" s="104">
        <v>0</v>
      </c>
      <c r="P63" s="104">
        <f>N63+O63</f>
        <v>435</v>
      </c>
      <c r="Q63" s="104">
        <f aca="true" t="shared" si="39" ref="Q63:Q125">K63</f>
        <v>55</v>
      </c>
      <c r="R63" s="86">
        <f>Q63/P63</f>
        <v>0.12643678160919541</v>
      </c>
    </row>
    <row r="64" spans="1:18" ht="12.75">
      <c r="A64" s="30" t="s">
        <v>19</v>
      </c>
      <c r="B64" s="38" t="s">
        <v>183</v>
      </c>
      <c r="C64" s="112">
        <v>25</v>
      </c>
      <c r="D64" s="110">
        <v>9</v>
      </c>
      <c r="E64" s="104">
        <f t="shared" si="31"/>
        <v>34</v>
      </c>
      <c r="F64" s="104">
        <v>1</v>
      </c>
      <c r="G64" s="109">
        <f t="shared" si="29"/>
        <v>33</v>
      </c>
      <c r="H64" s="118">
        <v>2</v>
      </c>
      <c r="I64" s="121">
        <v>0</v>
      </c>
      <c r="J64" s="120">
        <f t="shared" si="4"/>
        <v>2</v>
      </c>
      <c r="K64" s="118">
        <f>E64+H64</f>
        <v>36</v>
      </c>
      <c r="L64" s="104">
        <f t="shared" si="6"/>
        <v>1</v>
      </c>
      <c r="M64" s="120">
        <v>67</v>
      </c>
      <c r="N64" s="119">
        <v>205</v>
      </c>
      <c r="O64" s="104">
        <v>0</v>
      </c>
      <c r="P64" s="104">
        <f>N64+O64</f>
        <v>205</v>
      </c>
      <c r="Q64" s="104">
        <f t="shared" si="39"/>
        <v>36</v>
      </c>
      <c r="R64" s="86">
        <f>Q64/P64</f>
        <v>0.17560975609756097</v>
      </c>
    </row>
    <row r="65" spans="1:18" s="76" customFormat="1" ht="12.75">
      <c r="A65" s="54" t="s">
        <v>293</v>
      </c>
      <c r="B65" s="77"/>
      <c r="C65" s="114">
        <f>C62+C63+C64</f>
        <v>209</v>
      </c>
      <c r="D65" s="115">
        <f aca="true" t="shared" si="40" ref="D65:P65">D62+D63+D64</f>
        <v>375</v>
      </c>
      <c r="E65" s="115">
        <f t="shared" si="40"/>
        <v>584</v>
      </c>
      <c r="F65" s="115">
        <f t="shared" si="40"/>
        <v>17</v>
      </c>
      <c r="G65" s="116">
        <f t="shared" si="40"/>
        <v>567</v>
      </c>
      <c r="H65" s="114">
        <f t="shared" si="40"/>
        <v>75</v>
      </c>
      <c r="I65" s="115">
        <f t="shared" si="40"/>
        <v>0</v>
      </c>
      <c r="J65" s="116">
        <f t="shared" si="40"/>
        <v>75</v>
      </c>
      <c r="K65" s="114">
        <f t="shared" si="40"/>
        <v>659</v>
      </c>
      <c r="L65" s="115">
        <f t="shared" si="40"/>
        <v>17</v>
      </c>
      <c r="M65" s="116">
        <f t="shared" si="40"/>
        <v>1202</v>
      </c>
      <c r="N65" s="117">
        <f t="shared" si="40"/>
        <v>3733</v>
      </c>
      <c r="O65" s="115">
        <f t="shared" si="40"/>
        <v>10</v>
      </c>
      <c r="P65" s="115">
        <f t="shared" si="40"/>
        <v>3743</v>
      </c>
      <c r="Q65" s="163">
        <f t="shared" si="39"/>
        <v>659</v>
      </c>
      <c r="R65" s="82">
        <f>Q65/P65</f>
        <v>0.17606198236708523</v>
      </c>
    </row>
    <row r="66" spans="1:18" s="39" customFormat="1" ht="12.75">
      <c r="A66" s="36" t="s">
        <v>237</v>
      </c>
      <c r="B66" s="53"/>
      <c r="C66" s="105"/>
      <c r="D66" s="33"/>
      <c r="E66" s="104"/>
      <c r="F66" s="33"/>
      <c r="G66" s="109"/>
      <c r="H66" s="105"/>
      <c r="I66" s="33"/>
      <c r="J66" s="106"/>
      <c r="K66" s="105"/>
      <c r="L66" s="104"/>
      <c r="M66" s="120"/>
      <c r="N66" s="93"/>
      <c r="O66" s="33"/>
      <c r="P66" s="104"/>
      <c r="Q66" s="104"/>
      <c r="R66" s="86"/>
    </row>
    <row r="67" spans="1:18" s="39" customFormat="1" ht="12.75">
      <c r="A67" s="30" t="s">
        <v>20</v>
      </c>
      <c r="B67" s="38" t="s">
        <v>133</v>
      </c>
      <c r="C67" s="112">
        <v>261</v>
      </c>
      <c r="D67" s="110">
        <v>643</v>
      </c>
      <c r="E67" s="104">
        <f t="shared" si="31"/>
        <v>904</v>
      </c>
      <c r="F67" s="108">
        <v>34</v>
      </c>
      <c r="G67" s="109">
        <f t="shared" si="29"/>
        <v>870</v>
      </c>
      <c r="H67" s="118">
        <v>120</v>
      </c>
      <c r="I67" s="104">
        <v>0</v>
      </c>
      <c r="J67" s="120">
        <f t="shared" si="4"/>
        <v>120</v>
      </c>
      <c r="K67" s="118">
        <f>E67+H67</f>
        <v>1024</v>
      </c>
      <c r="L67" s="104">
        <f t="shared" si="6"/>
        <v>34</v>
      </c>
      <c r="M67" s="120">
        <v>1952</v>
      </c>
      <c r="N67" s="119">
        <v>2560</v>
      </c>
      <c r="O67" s="104">
        <v>0</v>
      </c>
      <c r="P67" s="104">
        <f>N67+O67</f>
        <v>2560</v>
      </c>
      <c r="Q67" s="104">
        <f t="shared" si="39"/>
        <v>1024</v>
      </c>
      <c r="R67" s="86">
        <f>Q67/P67</f>
        <v>0.4</v>
      </c>
    </row>
    <row r="68" spans="1:18" s="39" customFormat="1" ht="12.75">
      <c r="A68" s="30" t="s">
        <v>100</v>
      </c>
      <c r="B68" s="38" t="s">
        <v>148</v>
      </c>
      <c r="C68" s="112">
        <v>74</v>
      </c>
      <c r="D68" s="110">
        <v>68</v>
      </c>
      <c r="E68" s="104">
        <f t="shared" si="31"/>
        <v>142</v>
      </c>
      <c r="F68" s="108">
        <v>1</v>
      </c>
      <c r="G68" s="109">
        <f t="shared" si="29"/>
        <v>141</v>
      </c>
      <c r="H68" s="118">
        <v>6</v>
      </c>
      <c r="I68" s="104">
        <v>0</v>
      </c>
      <c r="J68" s="120">
        <f t="shared" si="4"/>
        <v>6</v>
      </c>
      <c r="K68" s="118">
        <f>E68+H68</f>
        <v>148</v>
      </c>
      <c r="L68" s="104">
        <f t="shared" si="6"/>
        <v>1</v>
      </c>
      <c r="M68" s="120">
        <v>288</v>
      </c>
      <c r="N68" s="119">
        <v>428</v>
      </c>
      <c r="O68" s="104">
        <v>1</v>
      </c>
      <c r="P68" s="104">
        <f>N68+O68</f>
        <v>429</v>
      </c>
      <c r="Q68" s="104">
        <f t="shared" si="39"/>
        <v>148</v>
      </c>
      <c r="R68" s="86">
        <f>Q68/P68</f>
        <v>0.34498834498834496</v>
      </c>
    </row>
    <row r="69" spans="1:18" s="76" customFormat="1" ht="12.75">
      <c r="A69" s="54" t="s">
        <v>293</v>
      </c>
      <c r="B69" s="77"/>
      <c r="C69" s="114">
        <f>C67+C68</f>
        <v>335</v>
      </c>
      <c r="D69" s="115">
        <f aca="true" t="shared" si="41" ref="D69:P69">D67+D68</f>
        <v>711</v>
      </c>
      <c r="E69" s="115">
        <f t="shared" si="41"/>
        <v>1046</v>
      </c>
      <c r="F69" s="115">
        <f t="shared" si="41"/>
        <v>35</v>
      </c>
      <c r="G69" s="116">
        <f t="shared" si="41"/>
        <v>1011</v>
      </c>
      <c r="H69" s="114">
        <f t="shared" si="41"/>
        <v>126</v>
      </c>
      <c r="I69" s="115">
        <f t="shared" si="41"/>
        <v>0</v>
      </c>
      <c r="J69" s="116">
        <f t="shared" si="41"/>
        <v>126</v>
      </c>
      <c r="K69" s="114">
        <f t="shared" si="41"/>
        <v>1172</v>
      </c>
      <c r="L69" s="115">
        <f t="shared" si="41"/>
        <v>35</v>
      </c>
      <c r="M69" s="116">
        <f t="shared" si="41"/>
        <v>2240</v>
      </c>
      <c r="N69" s="117">
        <f t="shared" si="41"/>
        <v>2988</v>
      </c>
      <c r="O69" s="115">
        <f t="shared" si="41"/>
        <v>1</v>
      </c>
      <c r="P69" s="115">
        <f t="shared" si="41"/>
        <v>2989</v>
      </c>
      <c r="Q69" s="163">
        <f t="shared" si="39"/>
        <v>1172</v>
      </c>
      <c r="R69" s="82">
        <f>Q69/P69</f>
        <v>0.39210438273670123</v>
      </c>
    </row>
    <row r="70" spans="1:18" s="39" customFormat="1" ht="12.75">
      <c r="A70" s="36" t="s">
        <v>238</v>
      </c>
      <c r="B70" s="53"/>
      <c r="C70" s="105"/>
      <c r="D70" s="33"/>
      <c r="E70" s="104"/>
      <c r="F70" s="33"/>
      <c r="G70" s="109"/>
      <c r="H70" s="105"/>
      <c r="I70" s="33"/>
      <c r="J70" s="106"/>
      <c r="K70" s="105"/>
      <c r="L70" s="104"/>
      <c r="M70" s="120"/>
      <c r="N70" s="93"/>
      <c r="O70" s="33"/>
      <c r="P70" s="104"/>
      <c r="Q70" s="104"/>
      <c r="R70" s="88"/>
    </row>
    <row r="71" spans="1:18" s="39" customFormat="1" ht="12.75">
      <c r="A71" s="30" t="s">
        <v>21</v>
      </c>
      <c r="B71" s="38" t="s">
        <v>159</v>
      </c>
      <c r="C71" s="112">
        <v>44</v>
      </c>
      <c r="D71" s="110">
        <v>128</v>
      </c>
      <c r="E71" s="104">
        <f t="shared" si="31"/>
        <v>172</v>
      </c>
      <c r="F71" s="108">
        <v>7</v>
      </c>
      <c r="G71" s="109">
        <f t="shared" si="29"/>
        <v>165</v>
      </c>
      <c r="H71" s="118">
        <v>17</v>
      </c>
      <c r="I71" s="104">
        <v>0</v>
      </c>
      <c r="J71" s="120">
        <f t="shared" si="4"/>
        <v>17</v>
      </c>
      <c r="K71" s="118">
        <f>E71+H71</f>
        <v>189</v>
      </c>
      <c r="L71" s="104">
        <f t="shared" si="6"/>
        <v>7</v>
      </c>
      <c r="M71" s="120">
        <f>K71-L71</f>
        <v>182</v>
      </c>
      <c r="N71" s="119">
        <v>553</v>
      </c>
      <c r="O71" s="104">
        <v>0</v>
      </c>
      <c r="P71" s="104">
        <f>N71+O71</f>
        <v>553</v>
      </c>
      <c r="Q71" s="104">
        <f t="shared" si="39"/>
        <v>189</v>
      </c>
      <c r="R71" s="86">
        <f aca="true" t="shared" si="42" ref="R71:R76">Q71/P71</f>
        <v>0.34177215189873417</v>
      </c>
    </row>
    <row r="72" spans="1:18" s="39" customFormat="1" ht="12.75">
      <c r="A72" s="30" t="s">
        <v>101</v>
      </c>
      <c r="B72" s="38" t="s">
        <v>184</v>
      </c>
      <c r="C72" s="112">
        <v>32</v>
      </c>
      <c r="D72" s="110">
        <v>41</v>
      </c>
      <c r="E72" s="104">
        <f t="shared" si="31"/>
        <v>73</v>
      </c>
      <c r="F72" s="108">
        <v>7</v>
      </c>
      <c r="G72" s="109">
        <f t="shared" si="29"/>
        <v>66</v>
      </c>
      <c r="H72" s="118">
        <v>4</v>
      </c>
      <c r="I72" s="104">
        <v>0</v>
      </c>
      <c r="J72" s="120">
        <f t="shared" si="4"/>
        <v>4</v>
      </c>
      <c r="K72" s="118">
        <f>E72+H72</f>
        <v>77</v>
      </c>
      <c r="L72" s="104">
        <f t="shared" si="6"/>
        <v>7</v>
      </c>
      <c r="M72" s="120">
        <f>K72-L72</f>
        <v>70</v>
      </c>
      <c r="N72" s="119">
        <v>320</v>
      </c>
      <c r="O72" s="104">
        <v>0</v>
      </c>
      <c r="P72" s="104">
        <f>N72+O72</f>
        <v>320</v>
      </c>
      <c r="Q72" s="104">
        <f t="shared" si="39"/>
        <v>77</v>
      </c>
      <c r="R72" s="86">
        <f t="shared" si="42"/>
        <v>0.240625</v>
      </c>
    </row>
    <row r="73" spans="1:18" s="96" customFormat="1" ht="12.75">
      <c r="A73" s="30" t="s">
        <v>25</v>
      </c>
      <c r="B73" s="38" t="s">
        <v>173</v>
      </c>
      <c r="C73" s="112">
        <v>27</v>
      </c>
      <c r="D73" s="110">
        <v>23</v>
      </c>
      <c r="E73" s="104">
        <v>50</v>
      </c>
      <c r="F73" s="108">
        <v>0</v>
      </c>
      <c r="G73" s="109">
        <f t="shared" si="29"/>
        <v>50</v>
      </c>
      <c r="H73" s="118">
        <v>0</v>
      </c>
      <c r="I73" s="104">
        <v>0</v>
      </c>
      <c r="J73" s="120">
        <f t="shared" si="4"/>
        <v>0</v>
      </c>
      <c r="K73" s="118">
        <f>E73+H73</f>
        <v>50</v>
      </c>
      <c r="L73" s="104">
        <f t="shared" si="6"/>
        <v>0</v>
      </c>
      <c r="M73" s="120">
        <f>K73-L73</f>
        <v>50</v>
      </c>
      <c r="N73" s="119">
        <v>160</v>
      </c>
      <c r="O73" s="104">
        <v>0</v>
      </c>
      <c r="P73" s="104">
        <f>N73+O73</f>
        <v>160</v>
      </c>
      <c r="Q73" s="104">
        <f t="shared" si="39"/>
        <v>50</v>
      </c>
      <c r="R73" s="86">
        <f t="shared" si="42"/>
        <v>0.3125</v>
      </c>
    </row>
    <row r="74" spans="1:18" s="39" customFormat="1" ht="12.75">
      <c r="A74" s="30" t="s">
        <v>53</v>
      </c>
      <c r="B74" s="38" t="s">
        <v>118</v>
      </c>
      <c r="C74" s="112">
        <v>40</v>
      </c>
      <c r="D74" s="110">
        <v>26</v>
      </c>
      <c r="E74" s="104">
        <f t="shared" si="31"/>
        <v>66</v>
      </c>
      <c r="F74" s="108">
        <v>2</v>
      </c>
      <c r="G74" s="109">
        <f t="shared" si="29"/>
        <v>64</v>
      </c>
      <c r="H74" s="118">
        <v>0</v>
      </c>
      <c r="I74" s="104">
        <v>0</v>
      </c>
      <c r="J74" s="120">
        <f t="shared" si="4"/>
        <v>0</v>
      </c>
      <c r="K74" s="118">
        <f>E74+H74</f>
        <v>66</v>
      </c>
      <c r="L74" s="104">
        <f t="shared" si="6"/>
        <v>2</v>
      </c>
      <c r="M74" s="120">
        <f>K74-L74</f>
        <v>64</v>
      </c>
      <c r="N74" s="119">
        <v>193</v>
      </c>
      <c r="O74" s="104">
        <v>0</v>
      </c>
      <c r="P74" s="104">
        <f>N74+O74</f>
        <v>193</v>
      </c>
      <c r="Q74" s="104">
        <f t="shared" si="39"/>
        <v>66</v>
      </c>
      <c r="R74" s="86">
        <f t="shared" si="42"/>
        <v>0.34196891191709844</v>
      </c>
    </row>
    <row r="75" spans="1:18" s="39" customFormat="1" ht="12.75">
      <c r="A75" s="30" t="s">
        <v>54</v>
      </c>
      <c r="B75" s="38" t="s">
        <v>179</v>
      </c>
      <c r="C75" s="112">
        <v>2</v>
      </c>
      <c r="D75" s="110">
        <v>2</v>
      </c>
      <c r="E75" s="104">
        <f t="shared" si="31"/>
        <v>4</v>
      </c>
      <c r="F75" s="108">
        <v>0</v>
      </c>
      <c r="G75" s="109">
        <f t="shared" si="29"/>
        <v>4</v>
      </c>
      <c r="H75" s="118">
        <v>0</v>
      </c>
      <c r="I75" s="104">
        <v>0</v>
      </c>
      <c r="J75" s="120">
        <f t="shared" si="4"/>
        <v>0</v>
      </c>
      <c r="K75" s="118">
        <f>E75+H75</f>
        <v>4</v>
      </c>
      <c r="L75" s="104">
        <f t="shared" si="6"/>
        <v>0</v>
      </c>
      <c r="M75" s="120">
        <f>K75-L75</f>
        <v>4</v>
      </c>
      <c r="N75" s="119">
        <v>75</v>
      </c>
      <c r="O75" s="104">
        <v>0</v>
      </c>
      <c r="P75" s="104">
        <f>N75+O75</f>
        <v>75</v>
      </c>
      <c r="Q75" s="104">
        <f t="shared" si="39"/>
        <v>4</v>
      </c>
      <c r="R75" s="86">
        <f t="shared" si="42"/>
        <v>0.05333333333333334</v>
      </c>
    </row>
    <row r="76" spans="1:18" s="76" customFormat="1" ht="12.75">
      <c r="A76" s="54" t="s">
        <v>293</v>
      </c>
      <c r="B76" s="77"/>
      <c r="C76" s="114">
        <f>C71+C72+C73+C74+C75</f>
        <v>145</v>
      </c>
      <c r="D76" s="115">
        <f aca="true" t="shared" si="43" ref="D76:P76">D71+D72+D73+D74+D75</f>
        <v>220</v>
      </c>
      <c r="E76" s="115">
        <f t="shared" si="43"/>
        <v>365</v>
      </c>
      <c r="F76" s="115">
        <f t="shared" si="43"/>
        <v>16</v>
      </c>
      <c r="G76" s="116">
        <f t="shared" si="43"/>
        <v>349</v>
      </c>
      <c r="H76" s="114">
        <f t="shared" si="43"/>
        <v>21</v>
      </c>
      <c r="I76" s="115">
        <f t="shared" si="43"/>
        <v>0</v>
      </c>
      <c r="J76" s="116">
        <f t="shared" si="43"/>
        <v>21</v>
      </c>
      <c r="K76" s="114">
        <f t="shared" si="43"/>
        <v>386</v>
      </c>
      <c r="L76" s="115">
        <f t="shared" si="43"/>
        <v>16</v>
      </c>
      <c r="M76" s="116">
        <f t="shared" si="43"/>
        <v>370</v>
      </c>
      <c r="N76" s="117">
        <f t="shared" si="43"/>
        <v>1301</v>
      </c>
      <c r="O76" s="115">
        <f t="shared" si="43"/>
        <v>0</v>
      </c>
      <c r="P76" s="115">
        <f t="shared" si="43"/>
        <v>1301</v>
      </c>
      <c r="Q76" s="163">
        <f t="shared" si="39"/>
        <v>386</v>
      </c>
      <c r="R76" s="82">
        <f t="shared" si="42"/>
        <v>0.29669485011529595</v>
      </c>
    </row>
    <row r="77" spans="1:18" s="39" customFormat="1" ht="12.75">
      <c r="A77" s="36" t="s">
        <v>239</v>
      </c>
      <c r="B77" s="53"/>
      <c r="C77" s="105"/>
      <c r="D77" s="33"/>
      <c r="E77" s="104"/>
      <c r="F77" s="33"/>
      <c r="G77" s="109"/>
      <c r="H77" s="105"/>
      <c r="I77" s="33"/>
      <c r="J77" s="106"/>
      <c r="K77" s="105"/>
      <c r="L77" s="104"/>
      <c r="M77" s="120"/>
      <c r="N77" s="93"/>
      <c r="O77" s="33"/>
      <c r="P77" s="104"/>
      <c r="Q77" s="104"/>
      <c r="R77" s="80"/>
    </row>
    <row r="78" spans="1:18" s="96" customFormat="1" ht="12.75">
      <c r="A78" s="30" t="s">
        <v>29</v>
      </c>
      <c r="B78" s="38" t="s">
        <v>120</v>
      </c>
      <c r="C78" s="112">
        <v>229</v>
      </c>
      <c r="D78" s="110">
        <v>120</v>
      </c>
      <c r="E78" s="104">
        <f t="shared" si="31"/>
        <v>349</v>
      </c>
      <c r="F78" s="104">
        <v>7</v>
      </c>
      <c r="G78" s="109">
        <f t="shared" si="29"/>
        <v>342</v>
      </c>
      <c r="H78" s="118">
        <v>18</v>
      </c>
      <c r="I78" s="110">
        <v>0</v>
      </c>
      <c r="J78" s="120">
        <f aca="true" t="shared" si="44" ref="J78:J146">H78-I78</f>
        <v>18</v>
      </c>
      <c r="K78" s="118">
        <f>E78+H78</f>
        <v>367</v>
      </c>
      <c r="L78" s="104">
        <f aca="true" t="shared" si="45" ref="L78:L144">F78+I78</f>
        <v>7</v>
      </c>
      <c r="M78" s="120">
        <v>360</v>
      </c>
      <c r="N78" s="119">
        <v>1306</v>
      </c>
      <c r="O78" s="104">
        <v>1</v>
      </c>
      <c r="P78" s="104">
        <f>N78+O78</f>
        <v>1307</v>
      </c>
      <c r="Q78" s="104">
        <f t="shared" si="39"/>
        <v>367</v>
      </c>
      <c r="R78" s="86">
        <f aca="true" t="shared" si="46" ref="R78:R85">Q78/P78</f>
        <v>0.28079571537872994</v>
      </c>
    </row>
    <row r="79" spans="1:18" s="39" customFormat="1" ht="12.75">
      <c r="A79" s="30" t="s">
        <v>30</v>
      </c>
      <c r="B79" s="40" t="s">
        <v>218</v>
      </c>
      <c r="C79" s="118">
        <v>191</v>
      </c>
      <c r="D79" s="104">
        <v>117</v>
      </c>
      <c r="E79" s="104">
        <f t="shared" si="31"/>
        <v>308</v>
      </c>
      <c r="F79" s="108">
        <v>18</v>
      </c>
      <c r="G79" s="109">
        <f t="shared" si="29"/>
        <v>290</v>
      </c>
      <c r="H79" s="118">
        <v>41</v>
      </c>
      <c r="I79" s="104">
        <v>0</v>
      </c>
      <c r="J79" s="120">
        <f t="shared" si="44"/>
        <v>41</v>
      </c>
      <c r="K79" s="118">
        <v>361</v>
      </c>
      <c r="L79" s="104">
        <f t="shared" si="45"/>
        <v>18</v>
      </c>
      <c r="M79" s="120">
        <v>343</v>
      </c>
      <c r="N79" s="119">
        <v>978</v>
      </c>
      <c r="O79" s="104">
        <v>0</v>
      </c>
      <c r="P79" s="104">
        <f>N79+O79</f>
        <v>978</v>
      </c>
      <c r="Q79" s="104">
        <f t="shared" si="39"/>
        <v>361</v>
      </c>
      <c r="R79" s="86">
        <f t="shared" si="46"/>
        <v>0.36912065439672803</v>
      </c>
    </row>
    <row r="80" spans="1:18" s="39" customFormat="1" ht="12.75">
      <c r="A80" s="30"/>
      <c r="B80" s="40" t="s">
        <v>219</v>
      </c>
      <c r="C80" s="118">
        <v>182</v>
      </c>
      <c r="D80" s="104">
        <v>124</v>
      </c>
      <c r="E80" s="104">
        <f t="shared" si="31"/>
        <v>306</v>
      </c>
      <c r="F80" s="108">
        <v>8</v>
      </c>
      <c r="G80" s="109">
        <f t="shared" si="29"/>
        <v>298</v>
      </c>
      <c r="H80" s="118">
        <v>22</v>
      </c>
      <c r="I80" s="110">
        <v>0</v>
      </c>
      <c r="J80" s="120">
        <f t="shared" si="44"/>
        <v>22</v>
      </c>
      <c r="K80" s="118">
        <v>327</v>
      </c>
      <c r="L80" s="104">
        <f t="shared" si="45"/>
        <v>8</v>
      </c>
      <c r="M80" s="120">
        <v>319</v>
      </c>
      <c r="N80" s="119">
        <v>966</v>
      </c>
      <c r="O80" s="104">
        <v>0</v>
      </c>
      <c r="P80" s="104">
        <f>N80+O80</f>
        <v>966</v>
      </c>
      <c r="Q80" s="104">
        <f t="shared" si="39"/>
        <v>327</v>
      </c>
      <c r="R80" s="86">
        <f t="shared" si="46"/>
        <v>0.3385093167701863</v>
      </c>
    </row>
    <row r="81" spans="1:18" s="75" customFormat="1" ht="12.75">
      <c r="A81" s="180"/>
      <c r="B81" s="53" t="s">
        <v>467</v>
      </c>
      <c r="C81" s="105">
        <f>SUM(C79:C80)</f>
        <v>373</v>
      </c>
      <c r="D81" s="33">
        <f aca="true" t="shared" si="47" ref="D81:P81">SUM(D79:D80)</f>
        <v>241</v>
      </c>
      <c r="E81" s="33">
        <f t="shared" si="47"/>
        <v>614</v>
      </c>
      <c r="F81" s="33">
        <f t="shared" si="47"/>
        <v>26</v>
      </c>
      <c r="G81" s="106">
        <f t="shared" si="47"/>
        <v>588</v>
      </c>
      <c r="H81" s="105">
        <f t="shared" si="47"/>
        <v>63</v>
      </c>
      <c r="I81" s="33">
        <f t="shared" si="47"/>
        <v>0</v>
      </c>
      <c r="J81" s="106">
        <f t="shared" si="47"/>
        <v>63</v>
      </c>
      <c r="K81" s="105">
        <f t="shared" si="47"/>
        <v>688</v>
      </c>
      <c r="L81" s="33">
        <f t="shared" si="47"/>
        <v>26</v>
      </c>
      <c r="M81" s="106">
        <f t="shared" si="47"/>
        <v>662</v>
      </c>
      <c r="N81" s="93">
        <f t="shared" si="47"/>
        <v>1944</v>
      </c>
      <c r="O81" s="33">
        <f>SUM(O79:O80)</f>
        <v>0</v>
      </c>
      <c r="P81" s="33">
        <f t="shared" si="47"/>
        <v>1944</v>
      </c>
      <c r="Q81" s="33">
        <f t="shared" si="39"/>
        <v>688</v>
      </c>
      <c r="R81" s="88">
        <f t="shared" si="46"/>
        <v>0.35390946502057613</v>
      </c>
    </row>
    <row r="82" spans="1:18" s="39" customFormat="1" ht="12.75">
      <c r="A82" s="30" t="s">
        <v>31</v>
      </c>
      <c r="B82" s="38" t="s">
        <v>119</v>
      </c>
      <c r="C82" s="112">
        <v>30</v>
      </c>
      <c r="D82" s="110">
        <v>43</v>
      </c>
      <c r="E82" s="104">
        <f t="shared" si="31"/>
        <v>73</v>
      </c>
      <c r="F82" s="108">
        <v>2</v>
      </c>
      <c r="G82" s="109">
        <f t="shared" si="29"/>
        <v>71</v>
      </c>
      <c r="H82" s="118">
        <v>1</v>
      </c>
      <c r="I82" s="104">
        <v>0</v>
      </c>
      <c r="J82" s="120">
        <f t="shared" si="44"/>
        <v>1</v>
      </c>
      <c r="K82" s="118">
        <f>E82+H82</f>
        <v>74</v>
      </c>
      <c r="L82" s="104">
        <f t="shared" si="45"/>
        <v>2</v>
      </c>
      <c r="M82" s="120">
        <f>K82-L82</f>
        <v>72</v>
      </c>
      <c r="N82" s="119">
        <v>185</v>
      </c>
      <c r="O82" s="104">
        <v>0</v>
      </c>
      <c r="P82" s="104">
        <f>N82+O82</f>
        <v>185</v>
      </c>
      <c r="Q82" s="104">
        <f t="shared" si="39"/>
        <v>74</v>
      </c>
      <c r="R82" s="86">
        <f t="shared" si="46"/>
        <v>0.4</v>
      </c>
    </row>
    <row r="83" spans="1:18" s="39" customFormat="1" ht="12.75">
      <c r="A83" s="30" t="s">
        <v>33</v>
      </c>
      <c r="B83" s="38" t="s">
        <v>127</v>
      </c>
      <c r="C83" s="112">
        <v>105</v>
      </c>
      <c r="D83" s="110">
        <v>104</v>
      </c>
      <c r="E83" s="104">
        <f t="shared" si="31"/>
        <v>209</v>
      </c>
      <c r="F83" s="108">
        <v>23</v>
      </c>
      <c r="G83" s="109">
        <f t="shared" si="29"/>
        <v>186</v>
      </c>
      <c r="H83" s="118">
        <v>5</v>
      </c>
      <c r="I83" s="104">
        <v>0</v>
      </c>
      <c r="J83" s="120">
        <f>H83-I83</f>
        <v>5</v>
      </c>
      <c r="K83" s="118">
        <f>E83+H83</f>
        <v>214</v>
      </c>
      <c r="L83" s="104">
        <f t="shared" si="45"/>
        <v>23</v>
      </c>
      <c r="M83" s="120">
        <f>K83-L83</f>
        <v>191</v>
      </c>
      <c r="N83" s="119">
        <v>695</v>
      </c>
      <c r="O83" s="104">
        <v>0</v>
      </c>
      <c r="P83" s="104">
        <f>N83+O83</f>
        <v>695</v>
      </c>
      <c r="Q83" s="104">
        <f t="shared" si="39"/>
        <v>214</v>
      </c>
      <c r="R83" s="86">
        <f t="shared" si="46"/>
        <v>0.3079136690647482</v>
      </c>
    </row>
    <row r="84" spans="1:18" s="39" customFormat="1" ht="12.75">
      <c r="A84" s="30" t="s">
        <v>34</v>
      </c>
      <c r="B84" s="38" t="s">
        <v>185</v>
      </c>
      <c r="C84" s="112">
        <v>99</v>
      </c>
      <c r="D84" s="110">
        <v>79</v>
      </c>
      <c r="E84" s="104">
        <f t="shared" si="31"/>
        <v>178</v>
      </c>
      <c r="F84" s="108">
        <v>8</v>
      </c>
      <c r="G84" s="109">
        <f t="shared" si="29"/>
        <v>170</v>
      </c>
      <c r="H84" s="118">
        <v>5</v>
      </c>
      <c r="I84" s="104">
        <v>0</v>
      </c>
      <c r="J84" s="120">
        <f t="shared" si="44"/>
        <v>5</v>
      </c>
      <c r="K84" s="118">
        <f>E84+H84</f>
        <v>183</v>
      </c>
      <c r="L84" s="104">
        <f t="shared" si="45"/>
        <v>8</v>
      </c>
      <c r="M84" s="120">
        <f>K84-L84</f>
        <v>175</v>
      </c>
      <c r="N84" s="119">
        <v>822</v>
      </c>
      <c r="O84" s="104">
        <v>3</v>
      </c>
      <c r="P84" s="104">
        <f>N84+O84</f>
        <v>825</v>
      </c>
      <c r="Q84" s="104">
        <f t="shared" si="39"/>
        <v>183</v>
      </c>
      <c r="R84" s="86">
        <f t="shared" si="46"/>
        <v>0.22181818181818183</v>
      </c>
    </row>
    <row r="85" spans="1:18" s="76" customFormat="1" ht="12.75">
      <c r="A85" s="54" t="s">
        <v>292</v>
      </c>
      <c r="B85" s="77"/>
      <c r="C85" s="114">
        <f>C78+C79+C80+C82+C83+C84</f>
        <v>836</v>
      </c>
      <c r="D85" s="115">
        <f aca="true" t="shared" si="48" ref="D85:P85">D78+D79+D80+D82+D83+D84</f>
        <v>587</v>
      </c>
      <c r="E85" s="115">
        <f t="shared" si="48"/>
        <v>1423</v>
      </c>
      <c r="F85" s="115">
        <f t="shared" si="48"/>
        <v>66</v>
      </c>
      <c r="G85" s="116">
        <f t="shared" si="48"/>
        <v>1357</v>
      </c>
      <c r="H85" s="114">
        <f t="shared" si="48"/>
        <v>92</v>
      </c>
      <c r="I85" s="115">
        <f t="shared" si="48"/>
        <v>0</v>
      </c>
      <c r="J85" s="116">
        <f t="shared" si="48"/>
        <v>92</v>
      </c>
      <c r="K85" s="114">
        <f t="shared" si="48"/>
        <v>1526</v>
      </c>
      <c r="L85" s="115">
        <f t="shared" si="48"/>
        <v>66</v>
      </c>
      <c r="M85" s="116">
        <f t="shared" si="48"/>
        <v>1460</v>
      </c>
      <c r="N85" s="117">
        <f t="shared" si="48"/>
        <v>4952</v>
      </c>
      <c r="O85" s="115">
        <f t="shared" si="48"/>
        <v>4</v>
      </c>
      <c r="P85" s="115">
        <f t="shared" si="48"/>
        <v>4956</v>
      </c>
      <c r="Q85" s="163">
        <f t="shared" si="39"/>
        <v>1526</v>
      </c>
      <c r="R85" s="82">
        <f t="shared" si="46"/>
        <v>0.307909604519774</v>
      </c>
    </row>
    <row r="86" spans="1:18" s="39" customFormat="1" ht="12.75">
      <c r="A86" s="36" t="s">
        <v>240</v>
      </c>
      <c r="B86" s="53"/>
      <c r="C86" s="105"/>
      <c r="D86" s="33"/>
      <c r="E86" s="104"/>
      <c r="F86" s="33"/>
      <c r="G86" s="109"/>
      <c r="H86" s="105"/>
      <c r="I86" s="33"/>
      <c r="J86" s="106"/>
      <c r="K86" s="105"/>
      <c r="L86" s="104"/>
      <c r="M86" s="120"/>
      <c r="N86" s="93"/>
      <c r="O86" s="33"/>
      <c r="P86" s="104"/>
      <c r="Q86" s="104"/>
      <c r="R86" s="80"/>
    </row>
    <row r="87" spans="1:18" s="96" customFormat="1" ht="12.75">
      <c r="A87" s="30" t="s">
        <v>35</v>
      </c>
      <c r="B87" s="40" t="s">
        <v>220</v>
      </c>
      <c r="C87" s="118">
        <v>145</v>
      </c>
      <c r="D87" s="104">
        <v>644</v>
      </c>
      <c r="E87" s="104">
        <f t="shared" si="31"/>
        <v>789</v>
      </c>
      <c r="F87" s="104">
        <v>95</v>
      </c>
      <c r="G87" s="109">
        <f t="shared" si="29"/>
        <v>694</v>
      </c>
      <c r="H87" s="118">
        <v>19</v>
      </c>
      <c r="I87" s="110">
        <v>0</v>
      </c>
      <c r="J87" s="120">
        <f t="shared" si="44"/>
        <v>19</v>
      </c>
      <c r="K87" s="118">
        <f>E87+H87</f>
        <v>808</v>
      </c>
      <c r="L87" s="104">
        <f t="shared" si="45"/>
        <v>95</v>
      </c>
      <c r="M87" s="120">
        <v>799</v>
      </c>
      <c r="N87" s="119">
        <v>2702</v>
      </c>
      <c r="O87" s="104">
        <v>0</v>
      </c>
      <c r="P87" s="104">
        <f>SUM(N87:O87)</f>
        <v>2702</v>
      </c>
      <c r="Q87" s="104">
        <f t="shared" si="39"/>
        <v>808</v>
      </c>
      <c r="R87" s="86">
        <f>Q87/P87</f>
        <v>0.2990377498149519</v>
      </c>
    </row>
    <row r="88" spans="1:18" s="39" customFormat="1" ht="12.75">
      <c r="A88" s="36"/>
      <c r="B88" s="40" t="s">
        <v>221</v>
      </c>
      <c r="C88" s="118">
        <v>136</v>
      </c>
      <c r="D88" s="104">
        <v>608</v>
      </c>
      <c r="E88" s="104">
        <f t="shared" si="31"/>
        <v>744</v>
      </c>
      <c r="F88" s="104">
        <v>127</v>
      </c>
      <c r="G88" s="109">
        <f t="shared" si="29"/>
        <v>617</v>
      </c>
      <c r="H88" s="118">
        <v>32</v>
      </c>
      <c r="I88" s="110">
        <v>0</v>
      </c>
      <c r="J88" s="120">
        <f t="shared" si="44"/>
        <v>32</v>
      </c>
      <c r="K88" s="118">
        <f aca="true" t="shared" si="49" ref="K88:K95">E88+H88</f>
        <v>776</v>
      </c>
      <c r="L88" s="104">
        <f t="shared" si="45"/>
        <v>127</v>
      </c>
      <c r="M88" s="120">
        <v>726</v>
      </c>
      <c r="N88" s="183">
        <v>2717</v>
      </c>
      <c r="O88" s="191">
        <v>1</v>
      </c>
      <c r="P88" s="104">
        <f aca="true" t="shared" si="50" ref="P88:P95">SUM(N88:O88)</f>
        <v>2718</v>
      </c>
      <c r="Q88" s="104">
        <f t="shared" si="39"/>
        <v>776</v>
      </c>
      <c r="R88" s="86">
        <f>Q88/P88</f>
        <v>0.28550404709345106</v>
      </c>
    </row>
    <row r="89" spans="1:18" s="39" customFormat="1" ht="12.75">
      <c r="A89" s="36"/>
      <c r="B89" s="40" t="s">
        <v>222</v>
      </c>
      <c r="C89" s="118">
        <v>196</v>
      </c>
      <c r="D89" s="104">
        <v>531</v>
      </c>
      <c r="E89" s="104">
        <f t="shared" si="31"/>
        <v>727</v>
      </c>
      <c r="F89" s="104">
        <v>87</v>
      </c>
      <c r="G89" s="109">
        <f t="shared" si="29"/>
        <v>640</v>
      </c>
      <c r="H89" s="118">
        <v>21</v>
      </c>
      <c r="I89" s="110">
        <v>0</v>
      </c>
      <c r="J89" s="120">
        <f t="shared" si="44"/>
        <v>21</v>
      </c>
      <c r="K89" s="118">
        <f t="shared" si="49"/>
        <v>748</v>
      </c>
      <c r="L89" s="104">
        <f t="shared" si="45"/>
        <v>87</v>
      </c>
      <c r="M89" s="120">
        <v>679</v>
      </c>
      <c r="N89" s="183">
        <v>2671</v>
      </c>
      <c r="O89" s="191">
        <v>2</v>
      </c>
      <c r="P89" s="104">
        <f t="shared" si="50"/>
        <v>2673</v>
      </c>
      <c r="Q89" s="104">
        <f t="shared" si="39"/>
        <v>748</v>
      </c>
      <c r="R89" s="86">
        <f>Q89/P89</f>
        <v>0.27983539094650206</v>
      </c>
    </row>
    <row r="90" spans="1:18" s="39" customFormat="1" ht="12.75">
      <c r="A90" s="35"/>
      <c r="B90" s="40" t="s">
        <v>223</v>
      </c>
      <c r="C90" s="118">
        <v>127</v>
      </c>
      <c r="D90" s="104">
        <v>622</v>
      </c>
      <c r="E90" s="104">
        <f t="shared" si="31"/>
        <v>749</v>
      </c>
      <c r="F90" s="108">
        <v>67</v>
      </c>
      <c r="G90" s="109">
        <f t="shared" si="29"/>
        <v>682</v>
      </c>
      <c r="H90" s="118">
        <v>32</v>
      </c>
      <c r="I90" s="104">
        <v>0</v>
      </c>
      <c r="J90" s="120">
        <f t="shared" si="44"/>
        <v>32</v>
      </c>
      <c r="K90" s="118">
        <f t="shared" si="49"/>
        <v>781</v>
      </c>
      <c r="L90" s="104">
        <f t="shared" si="45"/>
        <v>67</v>
      </c>
      <c r="M90" s="120">
        <v>774</v>
      </c>
      <c r="N90" s="119">
        <v>2724</v>
      </c>
      <c r="O90" s="104">
        <v>0</v>
      </c>
      <c r="P90" s="104">
        <f t="shared" si="50"/>
        <v>2724</v>
      </c>
      <c r="Q90" s="104">
        <f t="shared" si="39"/>
        <v>781</v>
      </c>
      <c r="R90" s="86">
        <f aca="true" t="shared" si="51" ref="R90:R96">Q90/P90</f>
        <v>0.2867107195301028</v>
      </c>
    </row>
    <row r="91" spans="1:18" s="75" customFormat="1" ht="12.75">
      <c r="A91" s="178"/>
      <c r="B91" s="53" t="s">
        <v>468</v>
      </c>
      <c r="C91" s="105">
        <f>SUM(C87:C90)</f>
        <v>604</v>
      </c>
      <c r="D91" s="33">
        <f aca="true" t="shared" si="52" ref="D91:O91">SUM(D87:D90)</f>
        <v>2405</v>
      </c>
      <c r="E91" s="33">
        <f t="shared" si="52"/>
        <v>3009</v>
      </c>
      <c r="F91" s="129">
        <f t="shared" si="52"/>
        <v>376</v>
      </c>
      <c r="G91" s="106">
        <f t="shared" si="52"/>
        <v>2633</v>
      </c>
      <c r="H91" s="105">
        <f t="shared" si="52"/>
        <v>104</v>
      </c>
      <c r="I91" s="33">
        <f t="shared" si="52"/>
        <v>0</v>
      </c>
      <c r="J91" s="106">
        <f t="shared" si="52"/>
        <v>104</v>
      </c>
      <c r="K91" s="105">
        <f t="shared" si="52"/>
        <v>3113</v>
      </c>
      <c r="L91" s="33">
        <f t="shared" si="52"/>
        <v>376</v>
      </c>
      <c r="M91" s="106">
        <f t="shared" si="52"/>
        <v>2978</v>
      </c>
      <c r="N91" s="93">
        <f t="shared" si="52"/>
        <v>10814</v>
      </c>
      <c r="O91" s="33">
        <f t="shared" si="52"/>
        <v>3</v>
      </c>
      <c r="P91" s="33">
        <f t="shared" si="50"/>
        <v>10817</v>
      </c>
      <c r="Q91" s="33">
        <f t="shared" si="39"/>
        <v>3113</v>
      </c>
      <c r="R91" s="88">
        <f t="shared" si="51"/>
        <v>0.287787741517981</v>
      </c>
    </row>
    <row r="92" spans="1:18" s="39" customFormat="1" ht="12.75">
      <c r="A92" s="30" t="s">
        <v>36</v>
      </c>
      <c r="B92" s="38" t="s">
        <v>181</v>
      </c>
      <c r="C92" s="112">
        <v>58</v>
      </c>
      <c r="D92" s="110">
        <v>213</v>
      </c>
      <c r="E92" s="104">
        <f t="shared" si="31"/>
        <v>271</v>
      </c>
      <c r="F92" s="108">
        <v>40</v>
      </c>
      <c r="G92" s="109">
        <f t="shared" si="29"/>
        <v>231</v>
      </c>
      <c r="H92" s="118">
        <v>5</v>
      </c>
      <c r="I92" s="104">
        <v>0</v>
      </c>
      <c r="J92" s="120">
        <f t="shared" si="44"/>
        <v>5</v>
      </c>
      <c r="K92" s="118">
        <f t="shared" si="49"/>
        <v>276</v>
      </c>
      <c r="L92" s="104">
        <f t="shared" si="45"/>
        <v>40</v>
      </c>
      <c r="M92" s="120">
        <f>K92-L92</f>
        <v>236</v>
      </c>
      <c r="N92" s="119">
        <v>798</v>
      </c>
      <c r="O92" s="104">
        <v>1</v>
      </c>
      <c r="P92" s="104">
        <f t="shared" si="50"/>
        <v>799</v>
      </c>
      <c r="Q92" s="104">
        <f t="shared" si="39"/>
        <v>276</v>
      </c>
      <c r="R92" s="86">
        <f t="shared" si="51"/>
        <v>0.3454317897371715</v>
      </c>
    </row>
    <row r="93" spans="1:18" s="39" customFormat="1" ht="12.75">
      <c r="A93" s="30" t="s">
        <v>37</v>
      </c>
      <c r="B93" s="38" t="s">
        <v>155</v>
      </c>
      <c r="C93" s="112">
        <v>17</v>
      </c>
      <c r="D93" s="110">
        <v>14</v>
      </c>
      <c r="E93" s="104">
        <v>31</v>
      </c>
      <c r="F93" s="108">
        <v>0</v>
      </c>
      <c r="G93" s="109">
        <f t="shared" si="29"/>
        <v>31</v>
      </c>
      <c r="H93" s="118">
        <v>0</v>
      </c>
      <c r="I93" s="104">
        <v>0</v>
      </c>
      <c r="J93" s="120">
        <f t="shared" si="44"/>
        <v>0</v>
      </c>
      <c r="K93" s="118">
        <f t="shared" si="49"/>
        <v>31</v>
      </c>
      <c r="L93" s="104">
        <f t="shared" si="45"/>
        <v>0</v>
      </c>
      <c r="M93" s="120">
        <f>K93-L93</f>
        <v>31</v>
      </c>
      <c r="N93" s="119">
        <v>93</v>
      </c>
      <c r="O93" s="104">
        <v>0</v>
      </c>
      <c r="P93" s="104">
        <f t="shared" si="50"/>
        <v>93</v>
      </c>
      <c r="Q93" s="104">
        <f t="shared" si="39"/>
        <v>31</v>
      </c>
      <c r="R93" s="86">
        <f t="shared" si="51"/>
        <v>0.3333333333333333</v>
      </c>
    </row>
    <row r="94" spans="1:18" s="39" customFormat="1" ht="12.75">
      <c r="A94" s="30" t="s">
        <v>38</v>
      </c>
      <c r="B94" s="38" t="s">
        <v>153</v>
      </c>
      <c r="C94" s="112">
        <v>104</v>
      </c>
      <c r="D94" s="110">
        <v>213</v>
      </c>
      <c r="E94" s="104">
        <f t="shared" si="31"/>
        <v>317</v>
      </c>
      <c r="F94" s="108">
        <v>66</v>
      </c>
      <c r="G94" s="109">
        <f t="shared" si="29"/>
        <v>251</v>
      </c>
      <c r="H94" s="118">
        <v>4</v>
      </c>
      <c r="I94" s="110">
        <v>0</v>
      </c>
      <c r="J94" s="120">
        <f t="shared" si="44"/>
        <v>4</v>
      </c>
      <c r="K94" s="118">
        <f t="shared" si="49"/>
        <v>321</v>
      </c>
      <c r="L94" s="104">
        <f t="shared" si="45"/>
        <v>66</v>
      </c>
      <c r="M94" s="120">
        <v>319</v>
      </c>
      <c r="N94" s="119">
        <v>1469</v>
      </c>
      <c r="O94" s="104">
        <v>0</v>
      </c>
      <c r="P94" s="104">
        <f t="shared" si="50"/>
        <v>1469</v>
      </c>
      <c r="Q94" s="104">
        <f t="shared" si="39"/>
        <v>321</v>
      </c>
      <c r="R94" s="86">
        <f t="shared" si="51"/>
        <v>0.21851599727705923</v>
      </c>
    </row>
    <row r="95" spans="1:18" s="39" customFormat="1" ht="12.75">
      <c r="A95" s="30" t="s">
        <v>39</v>
      </c>
      <c r="B95" s="38" t="s">
        <v>126</v>
      </c>
      <c r="C95" s="112">
        <v>25</v>
      </c>
      <c r="D95" s="110">
        <v>42</v>
      </c>
      <c r="E95" s="104">
        <f t="shared" si="31"/>
        <v>67</v>
      </c>
      <c r="F95" s="108">
        <v>5</v>
      </c>
      <c r="G95" s="109">
        <f t="shared" si="29"/>
        <v>62</v>
      </c>
      <c r="H95" s="118">
        <v>0</v>
      </c>
      <c r="I95" s="104">
        <v>0</v>
      </c>
      <c r="J95" s="120">
        <f t="shared" si="44"/>
        <v>0</v>
      </c>
      <c r="K95" s="118">
        <f t="shared" si="49"/>
        <v>67</v>
      </c>
      <c r="L95" s="104">
        <f t="shared" si="45"/>
        <v>5</v>
      </c>
      <c r="M95" s="120">
        <f>K95-L95</f>
        <v>62</v>
      </c>
      <c r="N95" s="119">
        <v>225</v>
      </c>
      <c r="O95" s="104">
        <v>0</v>
      </c>
      <c r="P95" s="104">
        <f t="shared" si="50"/>
        <v>225</v>
      </c>
      <c r="Q95" s="104">
        <f t="shared" si="39"/>
        <v>67</v>
      </c>
      <c r="R95" s="86">
        <f t="shared" si="51"/>
        <v>0.29777777777777775</v>
      </c>
    </row>
    <row r="96" spans="1:18" s="76" customFormat="1" ht="12.75">
      <c r="A96" s="54" t="s">
        <v>292</v>
      </c>
      <c r="B96" s="77"/>
      <c r="C96" s="114">
        <f>C87+C88+C89+C90+C92+C93+C94+C95</f>
        <v>808</v>
      </c>
      <c r="D96" s="115">
        <f aca="true" t="shared" si="53" ref="D96:P96">D87+D88+D89+D90+D92+D93+D94+D95</f>
        <v>2887</v>
      </c>
      <c r="E96" s="115">
        <f t="shared" si="53"/>
        <v>3695</v>
      </c>
      <c r="F96" s="115">
        <f t="shared" si="53"/>
        <v>487</v>
      </c>
      <c r="G96" s="116">
        <f t="shared" si="53"/>
        <v>3208</v>
      </c>
      <c r="H96" s="114">
        <f t="shared" si="53"/>
        <v>113</v>
      </c>
      <c r="I96" s="115">
        <f t="shared" si="53"/>
        <v>0</v>
      </c>
      <c r="J96" s="116">
        <f t="shared" si="53"/>
        <v>113</v>
      </c>
      <c r="K96" s="114">
        <f t="shared" si="53"/>
        <v>3808</v>
      </c>
      <c r="L96" s="115">
        <f t="shared" si="53"/>
        <v>487</v>
      </c>
      <c r="M96" s="116">
        <f t="shared" si="53"/>
        <v>3626</v>
      </c>
      <c r="N96" s="117">
        <f t="shared" si="53"/>
        <v>13399</v>
      </c>
      <c r="O96" s="115">
        <f t="shared" si="53"/>
        <v>4</v>
      </c>
      <c r="P96" s="115">
        <f t="shared" si="53"/>
        <v>13403</v>
      </c>
      <c r="Q96" s="163">
        <f t="shared" si="39"/>
        <v>3808</v>
      </c>
      <c r="R96" s="82">
        <f t="shared" si="51"/>
        <v>0.28411549653062745</v>
      </c>
    </row>
    <row r="97" spans="1:18" s="39" customFormat="1" ht="12.75">
      <c r="A97" s="36" t="s">
        <v>241</v>
      </c>
      <c r="B97" s="53"/>
      <c r="C97" s="105"/>
      <c r="D97" s="33"/>
      <c r="E97" s="104"/>
      <c r="F97" s="33"/>
      <c r="G97" s="109"/>
      <c r="H97" s="105"/>
      <c r="I97" s="33"/>
      <c r="J97" s="106"/>
      <c r="K97" s="105"/>
      <c r="L97" s="104"/>
      <c r="M97" s="120"/>
      <c r="N97" s="93"/>
      <c r="O97" s="33"/>
      <c r="P97" s="104"/>
      <c r="Q97" s="104"/>
      <c r="R97" s="88"/>
    </row>
    <row r="98" spans="1:18" s="39" customFormat="1" ht="12.75">
      <c r="A98" s="30" t="s">
        <v>40</v>
      </c>
      <c r="B98" s="38" t="s">
        <v>166</v>
      </c>
      <c r="C98" s="112">
        <v>189</v>
      </c>
      <c r="D98" s="110">
        <v>251</v>
      </c>
      <c r="E98" s="104">
        <f t="shared" si="31"/>
        <v>440</v>
      </c>
      <c r="F98" s="108">
        <v>0</v>
      </c>
      <c r="G98" s="109">
        <f t="shared" si="29"/>
        <v>440</v>
      </c>
      <c r="H98" s="107">
        <v>17</v>
      </c>
      <c r="I98" s="104">
        <v>0</v>
      </c>
      <c r="J98" s="120">
        <f t="shared" si="44"/>
        <v>17</v>
      </c>
      <c r="K98" s="118">
        <f>E98+H98</f>
        <v>457</v>
      </c>
      <c r="L98" s="104">
        <f t="shared" si="45"/>
        <v>0</v>
      </c>
      <c r="M98" s="120">
        <v>445</v>
      </c>
      <c r="N98" s="119">
        <v>1607</v>
      </c>
      <c r="O98" s="33">
        <v>1</v>
      </c>
      <c r="P98" s="104">
        <f>N98+O98</f>
        <v>1608</v>
      </c>
      <c r="Q98" s="104">
        <f t="shared" si="39"/>
        <v>457</v>
      </c>
      <c r="R98" s="86">
        <f>Q98/P98</f>
        <v>0.2842039800995025</v>
      </c>
    </row>
    <row r="99" spans="1:18" s="76" customFormat="1" ht="12.75">
      <c r="A99" s="54" t="s">
        <v>293</v>
      </c>
      <c r="B99" s="77"/>
      <c r="C99" s="114">
        <f>C98</f>
        <v>189</v>
      </c>
      <c r="D99" s="115">
        <f aca="true" t="shared" si="54" ref="D99:P99">D98</f>
        <v>251</v>
      </c>
      <c r="E99" s="115">
        <f t="shared" si="54"/>
        <v>440</v>
      </c>
      <c r="F99" s="115">
        <f t="shared" si="54"/>
        <v>0</v>
      </c>
      <c r="G99" s="116">
        <f t="shared" si="54"/>
        <v>440</v>
      </c>
      <c r="H99" s="114">
        <f t="shared" si="54"/>
        <v>17</v>
      </c>
      <c r="I99" s="115">
        <f t="shared" si="54"/>
        <v>0</v>
      </c>
      <c r="J99" s="116">
        <f t="shared" si="54"/>
        <v>17</v>
      </c>
      <c r="K99" s="114">
        <f t="shared" si="54"/>
        <v>457</v>
      </c>
      <c r="L99" s="115">
        <f t="shared" si="54"/>
        <v>0</v>
      </c>
      <c r="M99" s="116">
        <f t="shared" si="54"/>
        <v>445</v>
      </c>
      <c r="N99" s="117">
        <f t="shared" si="54"/>
        <v>1607</v>
      </c>
      <c r="O99" s="115">
        <f t="shared" si="54"/>
        <v>1</v>
      </c>
      <c r="P99" s="115">
        <f t="shared" si="54"/>
        <v>1608</v>
      </c>
      <c r="Q99" s="163">
        <f t="shared" si="39"/>
        <v>457</v>
      </c>
      <c r="R99" s="82">
        <f>Q99/P99</f>
        <v>0.2842039800995025</v>
      </c>
    </row>
    <row r="100" spans="1:18" s="39" customFormat="1" ht="12.75">
      <c r="A100" s="36" t="s">
        <v>242</v>
      </c>
      <c r="B100" s="53"/>
      <c r="C100" s="105"/>
      <c r="D100" s="33"/>
      <c r="E100" s="104"/>
      <c r="F100" s="33"/>
      <c r="G100" s="109"/>
      <c r="H100" s="105"/>
      <c r="I100" s="33"/>
      <c r="J100" s="106"/>
      <c r="K100" s="105"/>
      <c r="L100" s="104"/>
      <c r="M100" s="120"/>
      <c r="N100" s="93"/>
      <c r="O100" s="33"/>
      <c r="P100" s="104"/>
      <c r="Q100" s="104"/>
      <c r="R100" s="88"/>
    </row>
    <row r="101" spans="1:18" s="39" customFormat="1" ht="12.75">
      <c r="A101" s="30" t="s">
        <v>41</v>
      </c>
      <c r="B101" s="38" t="s">
        <v>224</v>
      </c>
      <c r="C101" s="112">
        <v>118</v>
      </c>
      <c r="D101" s="110">
        <v>137</v>
      </c>
      <c r="E101" s="104">
        <f t="shared" si="31"/>
        <v>255</v>
      </c>
      <c r="F101" s="108">
        <v>4</v>
      </c>
      <c r="G101" s="109">
        <f t="shared" si="29"/>
        <v>251</v>
      </c>
      <c r="H101" s="118">
        <v>17</v>
      </c>
      <c r="I101" s="110">
        <v>0</v>
      </c>
      <c r="J101" s="120">
        <f t="shared" si="44"/>
        <v>17</v>
      </c>
      <c r="K101" s="118">
        <v>255</v>
      </c>
      <c r="L101" s="104">
        <f t="shared" si="45"/>
        <v>4</v>
      </c>
      <c r="M101" s="120">
        <v>251</v>
      </c>
      <c r="N101" s="119">
        <v>1519</v>
      </c>
      <c r="O101" s="104">
        <v>0</v>
      </c>
      <c r="P101" s="104">
        <f>N101+O101</f>
        <v>1519</v>
      </c>
      <c r="Q101" s="104">
        <f t="shared" si="39"/>
        <v>255</v>
      </c>
      <c r="R101" s="86">
        <f aca="true" t="shared" si="55" ref="R101:R106">Q101/P101</f>
        <v>0.16787360105332455</v>
      </c>
    </row>
    <row r="102" spans="1:18" s="39" customFormat="1" ht="12.75">
      <c r="A102" s="35"/>
      <c r="B102" s="38" t="s">
        <v>493</v>
      </c>
      <c r="C102" s="112">
        <v>160</v>
      </c>
      <c r="D102" s="110">
        <v>200</v>
      </c>
      <c r="E102" s="104">
        <f t="shared" si="31"/>
        <v>360</v>
      </c>
      <c r="F102" s="108">
        <v>15</v>
      </c>
      <c r="G102" s="109">
        <f t="shared" si="29"/>
        <v>345</v>
      </c>
      <c r="H102" s="118">
        <v>13</v>
      </c>
      <c r="I102" s="110">
        <v>0</v>
      </c>
      <c r="J102" s="120">
        <f t="shared" si="44"/>
        <v>13</v>
      </c>
      <c r="K102" s="118">
        <v>375</v>
      </c>
      <c r="L102" s="104">
        <f t="shared" si="45"/>
        <v>15</v>
      </c>
      <c r="M102" s="120">
        <v>360</v>
      </c>
      <c r="N102" s="119">
        <v>1772</v>
      </c>
      <c r="O102" s="104">
        <v>0</v>
      </c>
      <c r="P102" s="104">
        <f>N102+O102</f>
        <v>1772</v>
      </c>
      <c r="Q102" s="104">
        <f t="shared" si="39"/>
        <v>375</v>
      </c>
      <c r="R102" s="86">
        <f t="shared" si="55"/>
        <v>0.21162528216704288</v>
      </c>
    </row>
    <row r="103" spans="1:18" s="75" customFormat="1" ht="12.75">
      <c r="A103" s="178"/>
      <c r="B103" s="73" t="s">
        <v>469</v>
      </c>
      <c r="C103" s="160">
        <f>SUM(C101:C102)</f>
        <v>278</v>
      </c>
      <c r="D103" s="161">
        <f aca="true" t="shared" si="56" ref="D103:P103">SUM(D101:D102)</f>
        <v>337</v>
      </c>
      <c r="E103" s="161">
        <f t="shared" si="56"/>
        <v>615</v>
      </c>
      <c r="F103" s="161">
        <f t="shared" si="56"/>
        <v>19</v>
      </c>
      <c r="G103" s="162">
        <f t="shared" si="56"/>
        <v>596</v>
      </c>
      <c r="H103" s="160">
        <f t="shared" si="56"/>
        <v>30</v>
      </c>
      <c r="I103" s="161">
        <f t="shared" si="56"/>
        <v>0</v>
      </c>
      <c r="J103" s="162">
        <f t="shared" si="56"/>
        <v>30</v>
      </c>
      <c r="K103" s="160">
        <f t="shared" si="56"/>
        <v>630</v>
      </c>
      <c r="L103" s="161">
        <f t="shared" si="56"/>
        <v>19</v>
      </c>
      <c r="M103" s="162">
        <f t="shared" si="56"/>
        <v>611</v>
      </c>
      <c r="N103" s="192">
        <f t="shared" si="56"/>
        <v>3291</v>
      </c>
      <c r="O103" s="161">
        <f t="shared" si="56"/>
        <v>0</v>
      </c>
      <c r="P103" s="161">
        <f t="shared" si="56"/>
        <v>3291</v>
      </c>
      <c r="Q103" s="33">
        <f t="shared" si="39"/>
        <v>630</v>
      </c>
      <c r="R103" s="88">
        <f t="shared" si="55"/>
        <v>0.19143117593436645</v>
      </c>
    </row>
    <row r="104" spans="1:18" s="39" customFormat="1" ht="12.75">
      <c r="A104" s="30" t="s">
        <v>42</v>
      </c>
      <c r="B104" s="38" t="s">
        <v>170</v>
      </c>
      <c r="C104" s="112">
        <v>86</v>
      </c>
      <c r="D104" s="110">
        <v>127</v>
      </c>
      <c r="E104" s="104">
        <f t="shared" si="31"/>
        <v>213</v>
      </c>
      <c r="F104" s="108">
        <v>8</v>
      </c>
      <c r="G104" s="109">
        <f t="shared" si="29"/>
        <v>205</v>
      </c>
      <c r="H104" s="118">
        <v>8</v>
      </c>
      <c r="I104" s="104">
        <v>0</v>
      </c>
      <c r="J104" s="120">
        <f t="shared" si="44"/>
        <v>8</v>
      </c>
      <c r="K104" s="118">
        <f>E104+H104</f>
        <v>221</v>
      </c>
      <c r="L104" s="104">
        <f t="shared" si="45"/>
        <v>8</v>
      </c>
      <c r="M104" s="120">
        <f>K104-L104</f>
        <v>213</v>
      </c>
      <c r="N104" s="119">
        <v>871</v>
      </c>
      <c r="O104" s="104">
        <v>0</v>
      </c>
      <c r="P104" s="104">
        <f>N104+O104</f>
        <v>871</v>
      </c>
      <c r="Q104" s="104">
        <f t="shared" si="39"/>
        <v>221</v>
      </c>
      <c r="R104" s="86">
        <f t="shared" si="55"/>
        <v>0.2537313432835821</v>
      </c>
    </row>
    <row r="105" spans="1:18" s="39" customFormat="1" ht="12.75">
      <c r="A105" s="30" t="s">
        <v>43</v>
      </c>
      <c r="B105" s="38" t="s">
        <v>117</v>
      </c>
      <c r="C105" s="112">
        <v>256</v>
      </c>
      <c r="D105" s="110">
        <v>315</v>
      </c>
      <c r="E105" s="104">
        <f t="shared" si="31"/>
        <v>571</v>
      </c>
      <c r="F105" s="108">
        <v>15</v>
      </c>
      <c r="G105" s="109">
        <f t="shared" si="29"/>
        <v>556</v>
      </c>
      <c r="H105" s="118">
        <v>33</v>
      </c>
      <c r="I105" s="104">
        <v>0</v>
      </c>
      <c r="J105" s="120">
        <f t="shared" si="44"/>
        <v>33</v>
      </c>
      <c r="K105" s="118">
        <f>E105+H105</f>
        <v>604</v>
      </c>
      <c r="L105" s="104">
        <f t="shared" si="45"/>
        <v>15</v>
      </c>
      <c r="M105" s="120">
        <f>K105-L105</f>
        <v>589</v>
      </c>
      <c r="N105" s="119">
        <v>2135</v>
      </c>
      <c r="O105" s="104">
        <v>0</v>
      </c>
      <c r="P105" s="104">
        <f>N105+O105</f>
        <v>2135</v>
      </c>
      <c r="Q105" s="104">
        <f t="shared" si="39"/>
        <v>604</v>
      </c>
      <c r="R105" s="86">
        <f t="shared" si="55"/>
        <v>0.282903981264637</v>
      </c>
    </row>
    <row r="106" spans="1:18" s="76" customFormat="1" ht="12.75">
      <c r="A106" s="54" t="s">
        <v>292</v>
      </c>
      <c r="B106" s="77"/>
      <c r="C106" s="114">
        <f>C101+C102+C104+C105</f>
        <v>620</v>
      </c>
      <c r="D106" s="115">
        <f aca="true" t="shared" si="57" ref="D106:P106">D101+D102+D104+D105</f>
        <v>779</v>
      </c>
      <c r="E106" s="115">
        <f t="shared" si="57"/>
        <v>1399</v>
      </c>
      <c r="F106" s="115">
        <f t="shared" si="57"/>
        <v>42</v>
      </c>
      <c r="G106" s="116">
        <f t="shared" si="57"/>
        <v>1357</v>
      </c>
      <c r="H106" s="114">
        <f t="shared" si="57"/>
        <v>71</v>
      </c>
      <c r="I106" s="115">
        <f t="shared" si="57"/>
        <v>0</v>
      </c>
      <c r="J106" s="116">
        <f t="shared" si="57"/>
        <v>71</v>
      </c>
      <c r="K106" s="114">
        <f t="shared" si="57"/>
        <v>1455</v>
      </c>
      <c r="L106" s="115">
        <f t="shared" si="57"/>
        <v>42</v>
      </c>
      <c r="M106" s="116">
        <f t="shared" si="57"/>
        <v>1413</v>
      </c>
      <c r="N106" s="117">
        <f t="shared" si="57"/>
        <v>6297</v>
      </c>
      <c r="O106" s="115">
        <f t="shared" si="57"/>
        <v>0</v>
      </c>
      <c r="P106" s="115">
        <f t="shared" si="57"/>
        <v>6297</v>
      </c>
      <c r="Q106" s="163">
        <f t="shared" si="39"/>
        <v>1455</v>
      </c>
      <c r="R106" s="82">
        <f t="shared" si="55"/>
        <v>0.23106241067174846</v>
      </c>
    </row>
    <row r="107" spans="1:18" s="39" customFormat="1" ht="12.75">
      <c r="A107" s="36" t="s">
        <v>243</v>
      </c>
      <c r="B107" s="53"/>
      <c r="C107" s="105"/>
      <c r="D107" s="33"/>
      <c r="E107" s="104"/>
      <c r="F107" s="33"/>
      <c r="G107" s="109"/>
      <c r="H107" s="105"/>
      <c r="I107" s="33"/>
      <c r="J107" s="106"/>
      <c r="K107" s="105"/>
      <c r="L107" s="104"/>
      <c r="M107" s="120"/>
      <c r="N107" s="93"/>
      <c r="O107" s="33"/>
      <c r="P107" s="104"/>
      <c r="Q107" s="104"/>
      <c r="R107" s="86"/>
    </row>
    <row r="108" spans="1:18" s="39" customFormat="1" ht="12.75">
      <c r="A108" s="30" t="s">
        <v>44</v>
      </c>
      <c r="B108" s="40" t="s">
        <v>230</v>
      </c>
      <c r="C108" s="118">
        <v>374</v>
      </c>
      <c r="D108" s="104">
        <v>695</v>
      </c>
      <c r="E108" s="104">
        <f t="shared" si="31"/>
        <v>1069</v>
      </c>
      <c r="F108" s="108">
        <v>16</v>
      </c>
      <c r="G108" s="109">
        <f t="shared" si="29"/>
        <v>1053</v>
      </c>
      <c r="H108" s="118">
        <v>67</v>
      </c>
      <c r="I108" s="104">
        <v>0</v>
      </c>
      <c r="J108" s="120">
        <f t="shared" si="44"/>
        <v>67</v>
      </c>
      <c r="K108" s="118">
        <f>E108+H108</f>
        <v>1136</v>
      </c>
      <c r="L108" s="104">
        <f t="shared" si="45"/>
        <v>16</v>
      </c>
      <c r="M108" s="120">
        <v>1121</v>
      </c>
      <c r="N108" s="119">
        <v>3536</v>
      </c>
      <c r="O108" s="104">
        <v>0</v>
      </c>
      <c r="P108" s="104">
        <f>N108+O108</f>
        <v>3536</v>
      </c>
      <c r="Q108" s="104">
        <f t="shared" si="39"/>
        <v>1136</v>
      </c>
      <c r="R108" s="86">
        <f>Q108/P108</f>
        <v>0.3212669683257919</v>
      </c>
    </row>
    <row r="109" spans="1:18" s="39" customFormat="1" ht="12.75">
      <c r="A109" s="30"/>
      <c r="B109" s="40" t="s">
        <v>282</v>
      </c>
      <c r="C109" s="118">
        <v>394</v>
      </c>
      <c r="D109" s="104">
        <v>673</v>
      </c>
      <c r="E109" s="104">
        <f t="shared" si="31"/>
        <v>1067</v>
      </c>
      <c r="F109" s="108">
        <v>40</v>
      </c>
      <c r="G109" s="109">
        <f t="shared" si="29"/>
        <v>1027</v>
      </c>
      <c r="H109" s="118">
        <v>60</v>
      </c>
      <c r="I109" s="104">
        <v>0</v>
      </c>
      <c r="J109" s="120">
        <f t="shared" si="44"/>
        <v>60</v>
      </c>
      <c r="K109" s="118">
        <f>E109+H109</f>
        <v>1127</v>
      </c>
      <c r="L109" s="104">
        <f t="shared" si="45"/>
        <v>40</v>
      </c>
      <c r="M109" s="120">
        <v>1090</v>
      </c>
      <c r="N109" s="119">
        <v>3586</v>
      </c>
      <c r="O109" s="104">
        <v>12</v>
      </c>
      <c r="P109" s="104">
        <f>N109+O109</f>
        <v>3598</v>
      </c>
      <c r="Q109" s="104">
        <f t="shared" si="39"/>
        <v>1127</v>
      </c>
      <c r="R109" s="86">
        <f>Q109/P109</f>
        <v>0.3132295719844358</v>
      </c>
    </row>
    <row r="110" spans="1:18" s="76" customFormat="1" ht="12.75">
      <c r="A110" s="54" t="s">
        <v>292</v>
      </c>
      <c r="B110" s="77"/>
      <c r="C110" s="114">
        <f>C108+C109</f>
        <v>768</v>
      </c>
      <c r="D110" s="115">
        <f aca="true" t="shared" si="58" ref="D110:P110">D108+D109</f>
        <v>1368</v>
      </c>
      <c r="E110" s="115">
        <f t="shared" si="58"/>
        <v>2136</v>
      </c>
      <c r="F110" s="115">
        <f t="shared" si="58"/>
        <v>56</v>
      </c>
      <c r="G110" s="116">
        <f t="shared" si="58"/>
        <v>2080</v>
      </c>
      <c r="H110" s="114">
        <f t="shared" si="58"/>
        <v>127</v>
      </c>
      <c r="I110" s="115">
        <f t="shared" si="58"/>
        <v>0</v>
      </c>
      <c r="J110" s="116">
        <f t="shared" si="58"/>
        <v>127</v>
      </c>
      <c r="K110" s="114">
        <f t="shared" si="58"/>
        <v>2263</v>
      </c>
      <c r="L110" s="115">
        <f t="shared" si="58"/>
        <v>56</v>
      </c>
      <c r="M110" s="116">
        <f t="shared" si="58"/>
        <v>2211</v>
      </c>
      <c r="N110" s="117">
        <f t="shared" si="58"/>
        <v>7122</v>
      </c>
      <c r="O110" s="115">
        <f t="shared" si="58"/>
        <v>12</v>
      </c>
      <c r="P110" s="115">
        <f t="shared" si="58"/>
        <v>7134</v>
      </c>
      <c r="Q110" s="163">
        <f t="shared" si="39"/>
        <v>2263</v>
      </c>
      <c r="R110" s="82">
        <f>Q110/P110</f>
        <v>0.3172133445472386</v>
      </c>
    </row>
    <row r="111" spans="1:18" s="39" customFormat="1" ht="12.75">
      <c r="A111" s="36" t="s">
        <v>244</v>
      </c>
      <c r="B111" s="53"/>
      <c r="C111" s="105"/>
      <c r="D111" s="33"/>
      <c r="E111" s="104"/>
      <c r="F111" s="33"/>
      <c r="G111" s="109"/>
      <c r="H111" s="105"/>
      <c r="I111" s="33"/>
      <c r="J111" s="106"/>
      <c r="K111" s="105"/>
      <c r="L111" s="104"/>
      <c r="M111" s="120"/>
      <c r="N111" s="93"/>
      <c r="O111" s="33"/>
      <c r="P111" s="104"/>
      <c r="Q111" s="104"/>
      <c r="R111" s="88"/>
    </row>
    <row r="112" spans="1:18" s="39" customFormat="1" ht="12.75">
      <c r="A112" s="30" t="s">
        <v>45</v>
      </c>
      <c r="B112" s="38" t="s">
        <v>186</v>
      </c>
      <c r="C112" s="112">
        <v>229</v>
      </c>
      <c r="D112" s="110">
        <v>367</v>
      </c>
      <c r="E112" s="104">
        <f t="shared" si="31"/>
        <v>596</v>
      </c>
      <c r="F112" s="108">
        <v>6</v>
      </c>
      <c r="G112" s="109">
        <f aca="true" t="shared" si="59" ref="G112:G180">E112-F112</f>
        <v>590</v>
      </c>
      <c r="H112" s="118">
        <v>14</v>
      </c>
      <c r="I112" s="104">
        <v>0</v>
      </c>
      <c r="J112" s="120">
        <f t="shared" si="44"/>
        <v>14</v>
      </c>
      <c r="K112" s="118">
        <f>E112+H112</f>
        <v>610</v>
      </c>
      <c r="L112" s="104">
        <f t="shared" si="45"/>
        <v>6</v>
      </c>
      <c r="M112" s="120">
        <v>1192</v>
      </c>
      <c r="N112" s="119">
        <v>1715</v>
      </c>
      <c r="O112" s="104">
        <v>0</v>
      </c>
      <c r="P112" s="104">
        <f>N112+O112</f>
        <v>1715</v>
      </c>
      <c r="Q112" s="104">
        <f t="shared" si="39"/>
        <v>610</v>
      </c>
      <c r="R112" s="86">
        <f aca="true" t="shared" si="60" ref="R112:R117">Q112/P112</f>
        <v>0.3556851311953353</v>
      </c>
    </row>
    <row r="113" spans="1:18" s="39" customFormat="1" ht="12.75">
      <c r="A113" s="30" t="s">
        <v>46</v>
      </c>
      <c r="B113" s="38" t="s">
        <v>171</v>
      </c>
      <c r="C113" s="112">
        <v>17</v>
      </c>
      <c r="D113" s="110">
        <v>16</v>
      </c>
      <c r="E113" s="104">
        <f t="shared" si="31"/>
        <v>33</v>
      </c>
      <c r="F113" s="108">
        <v>7</v>
      </c>
      <c r="G113" s="109">
        <f t="shared" si="59"/>
        <v>26</v>
      </c>
      <c r="H113" s="118">
        <v>3</v>
      </c>
      <c r="I113" s="104">
        <v>0</v>
      </c>
      <c r="J113" s="120">
        <f t="shared" si="44"/>
        <v>3</v>
      </c>
      <c r="K113" s="118">
        <f>E113+H113</f>
        <v>36</v>
      </c>
      <c r="L113" s="104">
        <f t="shared" si="45"/>
        <v>7</v>
      </c>
      <c r="M113" s="120">
        <v>57</v>
      </c>
      <c r="N113" s="119">
        <v>175</v>
      </c>
      <c r="O113" s="104">
        <v>0</v>
      </c>
      <c r="P113" s="104">
        <f>N113+O113</f>
        <v>175</v>
      </c>
      <c r="Q113" s="104">
        <f t="shared" si="39"/>
        <v>36</v>
      </c>
      <c r="R113" s="86">
        <f t="shared" si="60"/>
        <v>0.2057142857142857</v>
      </c>
    </row>
    <row r="114" spans="1:18" s="39" customFormat="1" ht="12.75">
      <c r="A114" s="30" t="s">
        <v>49</v>
      </c>
      <c r="B114" s="38" t="s">
        <v>172</v>
      </c>
      <c r="C114" s="112">
        <v>39</v>
      </c>
      <c r="D114" s="110">
        <v>58</v>
      </c>
      <c r="E114" s="104">
        <f t="shared" si="31"/>
        <v>97</v>
      </c>
      <c r="F114" s="108">
        <v>5</v>
      </c>
      <c r="G114" s="109">
        <f t="shared" si="59"/>
        <v>92</v>
      </c>
      <c r="H114" s="118">
        <v>14</v>
      </c>
      <c r="I114" s="104">
        <v>0</v>
      </c>
      <c r="J114" s="120">
        <f>H114-I114</f>
        <v>14</v>
      </c>
      <c r="K114" s="118">
        <f>E114+H114</f>
        <v>111</v>
      </c>
      <c r="L114" s="104">
        <f t="shared" si="45"/>
        <v>5</v>
      </c>
      <c r="M114" s="120">
        <v>212</v>
      </c>
      <c r="N114" s="119">
        <v>770</v>
      </c>
      <c r="O114" s="104">
        <v>1</v>
      </c>
      <c r="P114" s="104">
        <f>N114+O114</f>
        <v>771</v>
      </c>
      <c r="Q114" s="104">
        <f t="shared" si="39"/>
        <v>111</v>
      </c>
      <c r="R114" s="86">
        <f t="shared" si="60"/>
        <v>0.14396887159533073</v>
      </c>
    </row>
    <row r="115" spans="1:18" s="39" customFormat="1" ht="12.75">
      <c r="A115" s="30" t="s">
        <v>47</v>
      </c>
      <c r="B115" s="38" t="s">
        <v>151</v>
      </c>
      <c r="C115" s="112">
        <v>68</v>
      </c>
      <c r="D115" s="110">
        <v>46</v>
      </c>
      <c r="E115" s="104">
        <f t="shared" si="31"/>
        <v>114</v>
      </c>
      <c r="F115" s="108">
        <v>3</v>
      </c>
      <c r="G115" s="109">
        <f t="shared" si="59"/>
        <v>111</v>
      </c>
      <c r="H115" s="118">
        <v>8</v>
      </c>
      <c r="I115" s="104">
        <v>0</v>
      </c>
      <c r="J115" s="120">
        <f t="shared" si="44"/>
        <v>8</v>
      </c>
      <c r="K115" s="118">
        <f>E115+H115</f>
        <v>122</v>
      </c>
      <c r="L115" s="104">
        <f t="shared" si="45"/>
        <v>3</v>
      </c>
      <c r="M115" s="120">
        <v>238</v>
      </c>
      <c r="N115" s="119">
        <v>514</v>
      </c>
      <c r="O115" s="104">
        <v>1</v>
      </c>
      <c r="P115" s="104">
        <f>N115+O115</f>
        <v>515</v>
      </c>
      <c r="Q115" s="104">
        <f t="shared" si="39"/>
        <v>122</v>
      </c>
      <c r="R115" s="86">
        <f t="shared" si="60"/>
        <v>0.23689320388349513</v>
      </c>
    </row>
    <row r="116" spans="1:18" s="39" customFormat="1" ht="12.75">
      <c r="A116" s="30" t="s">
        <v>48</v>
      </c>
      <c r="B116" s="38" t="s">
        <v>111</v>
      </c>
      <c r="C116" s="112">
        <v>283</v>
      </c>
      <c r="D116" s="110">
        <v>344</v>
      </c>
      <c r="E116" s="104">
        <f t="shared" si="31"/>
        <v>627</v>
      </c>
      <c r="F116" s="108">
        <v>36</v>
      </c>
      <c r="G116" s="109">
        <f t="shared" si="59"/>
        <v>591</v>
      </c>
      <c r="H116" s="118">
        <v>25</v>
      </c>
      <c r="I116" s="110">
        <v>0</v>
      </c>
      <c r="J116" s="120">
        <f t="shared" si="44"/>
        <v>25</v>
      </c>
      <c r="K116" s="118">
        <f>E116+H116</f>
        <v>652</v>
      </c>
      <c r="L116" s="104">
        <f t="shared" si="45"/>
        <v>36</v>
      </c>
      <c r="M116" s="120">
        <v>1229</v>
      </c>
      <c r="N116" s="119">
        <v>2082</v>
      </c>
      <c r="O116" s="104">
        <v>0</v>
      </c>
      <c r="P116" s="104">
        <f>N116+O116</f>
        <v>2082</v>
      </c>
      <c r="Q116" s="104">
        <f t="shared" si="39"/>
        <v>652</v>
      </c>
      <c r="R116" s="86">
        <f t="shared" si="60"/>
        <v>0.31316042267050914</v>
      </c>
    </row>
    <row r="117" spans="1:18" s="78" customFormat="1" ht="12.75">
      <c r="A117" s="54" t="s">
        <v>293</v>
      </c>
      <c r="B117" s="77"/>
      <c r="C117" s="114">
        <f>C112+C113+C114+C115+C116</f>
        <v>636</v>
      </c>
      <c r="D117" s="115">
        <f aca="true" t="shared" si="61" ref="D117:P117">D112+D113+D114+D115+D116</f>
        <v>831</v>
      </c>
      <c r="E117" s="115">
        <f t="shared" si="61"/>
        <v>1467</v>
      </c>
      <c r="F117" s="115">
        <f t="shared" si="61"/>
        <v>57</v>
      </c>
      <c r="G117" s="116">
        <f t="shared" si="61"/>
        <v>1410</v>
      </c>
      <c r="H117" s="114">
        <f t="shared" si="61"/>
        <v>64</v>
      </c>
      <c r="I117" s="115">
        <f t="shared" si="61"/>
        <v>0</v>
      </c>
      <c r="J117" s="116">
        <f t="shared" si="61"/>
        <v>64</v>
      </c>
      <c r="K117" s="114">
        <f t="shared" si="61"/>
        <v>1531</v>
      </c>
      <c r="L117" s="115">
        <f t="shared" si="61"/>
        <v>57</v>
      </c>
      <c r="M117" s="116">
        <f t="shared" si="61"/>
        <v>2928</v>
      </c>
      <c r="N117" s="117">
        <f t="shared" si="61"/>
        <v>5256</v>
      </c>
      <c r="O117" s="115">
        <f t="shared" si="61"/>
        <v>2</v>
      </c>
      <c r="P117" s="115">
        <f t="shared" si="61"/>
        <v>5258</v>
      </c>
      <c r="Q117" s="163">
        <f t="shared" si="39"/>
        <v>1531</v>
      </c>
      <c r="R117" s="82">
        <f t="shared" si="60"/>
        <v>0.2911753518448079</v>
      </c>
    </row>
    <row r="118" spans="1:18" s="39" customFormat="1" ht="12.75">
      <c r="A118" s="36" t="s">
        <v>245</v>
      </c>
      <c r="B118" s="53"/>
      <c r="C118" s="105"/>
      <c r="D118" s="33"/>
      <c r="E118" s="104"/>
      <c r="F118" s="33"/>
      <c r="G118" s="109"/>
      <c r="H118" s="105"/>
      <c r="I118" s="33"/>
      <c r="J118" s="106"/>
      <c r="K118" s="105"/>
      <c r="L118" s="104"/>
      <c r="M118" s="120"/>
      <c r="N118" s="122"/>
      <c r="O118" s="33"/>
      <c r="P118" s="104"/>
      <c r="Q118" s="104"/>
      <c r="R118" s="88"/>
    </row>
    <row r="119" spans="1:18" s="39" customFormat="1" ht="12.75">
      <c r="A119" s="30" t="s">
        <v>50</v>
      </c>
      <c r="B119" s="40" t="s">
        <v>231</v>
      </c>
      <c r="C119" s="118">
        <v>241</v>
      </c>
      <c r="D119" s="104">
        <v>289</v>
      </c>
      <c r="E119" s="104">
        <f aca="true" t="shared" si="62" ref="E119:E186">SUM(C119:D119)</f>
        <v>530</v>
      </c>
      <c r="F119" s="108">
        <v>28</v>
      </c>
      <c r="G119" s="109">
        <f t="shared" si="59"/>
        <v>502</v>
      </c>
      <c r="H119" s="118">
        <v>26</v>
      </c>
      <c r="I119" s="110">
        <v>0</v>
      </c>
      <c r="J119" s="120">
        <f t="shared" si="44"/>
        <v>26</v>
      </c>
      <c r="K119" s="118">
        <f>E119+H119</f>
        <v>556</v>
      </c>
      <c r="L119" s="104">
        <f t="shared" si="45"/>
        <v>28</v>
      </c>
      <c r="M119" s="120">
        <v>528</v>
      </c>
      <c r="N119" s="177">
        <v>2582</v>
      </c>
      <c r="O119" s="104">
        <v>0</v>
      </c>
      <c r="P119" s="104">
        <f>N119+O119</f>
        <v>2582</v>
      </c>
      <c r="Q119" s="104">
        <f t="shared" si="39"/>
        <v>556</v>
      </c>
      <c r="R119" s="86">
        <f aca="true" t="shared" si="63" ref="R119:R125">Q119/P119</f>
        <v>0.21533694810224632</v>
      </c>
    </row>
    <row r="120" spans="1:18" s="39" customFormat="1" ht="12.75">
      <c r="A120" s="30"/>
      <c r="B120" s="40" t="s">
        <v>232</v>
      </c>
      <c r="C120" s="118">
        <v>228</v>
      </c>
      <c r="D120" s="104">
        <v>238</v>
      </c>
      <c r="E120" s="104">
        <f t="shared" si="62"/>
        <v>466</v>
      </c>
      <c r="F120" s="108">
        <v>10</v>
      </c>
      <c r="G120" s="109">
        <f t="shared" si="59"/>
        <v>456</v>
      </c>
      <c r="H120" s="118">
        <v>36</v>
      </c>
      <c r="I120" s="110">
        <v>0</v>
      </c>
      <c r="J120" s="120">
        <f t="shared" si="44"/>
        <v>36</v>
      </c>
      <c r="K120" s="118">
        <f>E120+H120</f>
        <v>502</v>
      </c>
      <c r="L120" s="104">
        <f t="shared" si="45"/>
        <v>10</v>
      </c>
      <c r="M120" s="120">
        <v>492</v>
      </c>
      <c r="N120" s="177">
        <v>2405</v>
      </c>
      <c r="O120" s="104">
        <v>2</v>
      </c>
      <c r="P120" s="104">
        <f>N120+O120</f>
        <v>2407</v>
      </c>
      <c r="Q120" s="104">
        <f t="shared" si="39"/>
        <v>502</v>
      </c>
      <c r="R120" s="86">
        <f t="shared" si="63"/>
        <v>0.20855837141670128</v>
      </c>
    </row>
    <row r="121" spans="1:18" s="39" customFormat="1" ht="12.75">
      <c r="A121" s="30"/>
      <c r="B121" s="38" t="s">
        <v>149</v>
      </c>
      <c r="C121" s="112">
        <v>33</v>
      </c>
      <c r="D121" s="110">
        <v>11</v>
      </c>
      <c r="E121" s="104">
        <v>44</v>
      </c>
      <c r="F121" s="108">
        <v>1</v>
      </c>
      <c r="G121" s="109">
        <f t="shared" si="59"/>
        <v>43</v>
      </c>
      <c r="H121" s="118">
        <v>0</v>
      </c>
      <c r="I121" s="110">
        <v>0</v>
      </c>
      <c r="J121" s="120">
        <f t="shared" si="44"/>
        <v>0</v>
      </c>
      <c r="K121" s="118">
        <f>E121+H121</f>
        <v>44</v>
      </c>
      <c r="L121" s="104">
        <f t="shared" si="45"/>
        <v>1</v>
      </c>
      <c r="M121" s="120">
        <f>K121-L121</f>
        <v>43</v>
      </c>
      <c r="N121" s="119">
        <v>181</v>
      </c>
      <c r="O121" s="104">
        <v>4</v>
      </c>
      <c r="P121" s="104">
        <f>N121+O121</f>
        <v>185</v>
      </c>
      <c r="Q121" s="104">
        <f t="shared" si="39"/>
        <v>44</v>
      </c>
      <c r="R121" s="86">
        <f t="shared" si="63"/>
        <v>0.23783783783783785</v>
      </c>
    </row>
    <row r="122" spans="1:18" s="39" customFormat="1" ht="12.75">
      <c r="A122" s="30"/>
      <c r="B122" s="73" t="s">
        <v>470</v>
      </c>
      <c r="C122" s="160">
        <f>SUM(C119:C121)</f>
        <v>502</v>
      </c>
      <c r="D122" s="161">
        <f aca="true" t="shared" si="64" ref="D122:P122">SUM(D119:D121)</f>
        <v>538</v>
      </c>
      <c r="E122" s="161">
        <f t="shared" si="64"/>
        <v>1040</v>
      </c>
      <c r="F122" s="161">
        <f t="shared" si="64"/>
        <v>39</v>
      </c>
      <c r="G122" s="162">
        <f t="shared" si="64"/>
        <v>1001</v>
      </c>
      <c r="H122" s="160">
        <f t="shared" si="64"/>
        <v>62</v>
      </c>
      <c r="I122" s="161">
        <f t="shared" si="64"/>
        <v>0</v>
      </c>
      <c r="J122" s="162">
        <f t="shared" si="64"/>
        <v>62</v>
      </c>
      <c r="K122" s="160">
        <f t="shared" si="64"/>
        <v>1102</v>
      </c>
      <c r="L122" s="161">
        <f t="shared" si="64"/>
        <v>39</v>
      </c>
      <c r="M122" s="162">
        <f t="shared" si="64"/>
        <v>1063</v>
      </c>
      <c r="N122" s="192">
        <f t="shared" si="64"/>
        <v>5168</v>
      </c>
      <c r="O122" s="161">
        <f t="shared" si="64"/>
        <v>6</v>
      </c>
      <c r="P122" s="161">
        <f t="shared" si="64"/>
        <v>5174</v>
      </c>
      <c r="Q122" s="33">
        <f t="shared" si="39"/>
        <v>1102</v>
      </c>
      <c r="R122" s="88">
        <f t="shared" si="63"/>
        <v>0.2129880170081175</v>
      </c>
    </row>
    <row r="123" spans="1:18" s="39" customFormat="1" ht="12.75">
      <c r="A123" s="30" t="s">
        <v>51</v>
      </c>
      <c r="B123" s="38" t="s">
        <v>150</v>
      </c>
      <c r="C123" s="112">
        <v>160</v>
      </c>
      <c r="D123" s="110">
        <v>65</v>
      </c>
      <c r="E123" s="104">
        <f t="shared" si="62"/>
        <v>225</v>
      </c>
      <c r="F123" s="108">
        <v>3</v>
      </c>
      <c r="G123" s="109">
        <f t="shared" si="59"/>
        <v>222</v>
      </c>
      <c r="H123" s="118">
        <v>13</v>
      </c>
      <c r="I123" s="110">
        <v>0</v>
      </c>
      <c r="J123" s="120">
        <f t="shared" si="44"/>
        <v>13</v>
      </c>
      <c r="K123" s="118">
        <f>E123+H123</f>
        <v>238</v>
      </c>
      <c r="L123" s="104">
        <f t="shared" si="45"/>
        <v>3</v>
      </c>
      <c r="M123" s="120">
        <v>235</v>
      </c>
      <c r="N123" s="119">
        <v>1539</v>
      </c>
      <c r="O123" s="104">
        <v>0</v>
      </c>
      <c r="P123" s="104">
        <f>N123+O123</f>
        <v>1539</v>
      </c>
      <c r="Q123" s="104">
        <f t="shared" si="39"/>
        <v>238</v>
      </c>
      <c r="R123" s="86">
        <f t="shared" si="63"/>
        <v>0.15464587394411955</v>
      </c>
    </row>
    <row r="124" spans="1:18" s="39" customFormat="1" ht="12.75">
      <c r="A124" s="30" t="s">
        <v>32</v>
      </c>
      <c r="B124" s="40" t="s">
        <v>154</v>
      </c>
      <c r="C124" s="118">
        <v>50</v>
      </c>
      <c r="D124" s="104">
        <v>8</v>
      </c>
      <c r="E124" s="104">
        <f t="shared" si="62"/>
        <v>58</v>
      </c>
      <c r="F124" s="108">
        <v>2</v>
      </c>
      <c r="G124" s="109">
        <f t="shared" si="59"/>
        <v>56</v>
      </c>
      <c r="H124" s="118">
        <v>1</v>
      </c>
      <c r="I124" s="110">
        <v>0</v>
      </c>
      <c r="J124" s="120">
        <f t="shared" si="44"/>
        <v>1</v>
      </c>
      <c r="K124" s="118">
        <f>E124+H124</f>
        <v>59</v>
      </c>
      <c r="L124" s="104">
        <f t="shared" si="45"/>
        <v>2</v>
      </c>
      <c r="M124" s="120">
        <v>57</v>
      </c>
      <c r="N124" s="119">
        <v>307</v>
      </c>
      <c r="O124" s="104">
        <v>0</v>
      </c>
      <c r="P124" s="104">
        <f>N124+O124</f>
        <v>307</v>
      </c>
      <c r="Q124" s="104">
        <f t="shared" si="39"/>
        <v>59</v>
      </c>
      <c r="R124" s="86">
        <f t="shared" si="63"/>
        <v>0.19218241042345277</v>
      </c>
    </row>
    <row r="125" spans="1:18" s="78" customFormat="1" ht="12.75">
      <c r="A125" s="54" t="s">
        <v>292</v>
      </c>
      <c r="B125" s="77"/>
      <c r="C125" s="114">
        <f>C119+C120+C121+C123+C124</f>
        <v>712</v>
      </c>
      <c r="D125" s="115">
        <f aca="true" t="shared" si="65" ref="D125:P125">D119+D120+D121+D123+D124</f>
        <v>611</v>
      </c>
      <c r="E125" s="115">
        <f t="shared" si="65"/>
        <v>1323</v>
      </c>
      <c r="F125" s="115">
        <f t="shared" si="65"/>
        <v>44</v>
      </c>
      <c r="G125" s="116">
        <f t="shared" si="65"/>
        <v>1279</v>
      </c>
      <c r="H125" s="114">
        <f t="shared" si="65"/>
        <v>76</v>
      </c>
      <c r="I125" s="115">
        <f t="shared" si="65"/>
        <v>0</v>
      </c>
      <c r="J125" s="116">
        <f t="shared" si="65"/>
        <v>76</v>
      </c>
      <c r="K125" s="114">
        <f t="shared" si="65"/>
        <v>1399</v>
      </c>
      <c r="L125" s="115">
        <f t="shared" si="65"/>
        <v>44</v>
      </c>
      <c r="M125" s="116">
        <f t="shared" si="65"/>
        <v>1355</v>
      </c>
      <c r="N125" s="117">
        <f t="shared" si="65"/>
        <v>7014</v>
      </c>
      <c r="O125" s="115">
        <f t="shared" si="65"/>
        <v>6</v>
      </c>
      <c r="P125" s="115">
        <f t="shared" si="65"/>
        <v>7020</v>
      </c>
      <c r="Q125" s="163">
        <f t="shared" si="39"/>
        <v>1399</v>
      </c>
      <c r="R125" s="82">
        <f t="shared" si="63"/>
        <v>0.19928774928774928</v>
      </c>
    </row>
    <row r="126" spans="1:18" s="39" customFormat="1" ht="12.75">
      <c r="A126" s="36" t="s">
        <v>246</v>
      </c>
      <c r="B126" s="53"/>
      <c r="C126" s="105"/>
      <c r="D126" s="33"/>
      <c r="E126" s="104"/>
      <c r="F126" s="33"/>
      <c r="G126" s="109"/>
      <c r="H126" s="105"/>
      <c r="I126" s="33"/>
      <c r="J126" s="106"/>
      <c r="K126" s="105"/>
      <c r="L126" s="104"/>
      <c r="M126" s="120"/>
      <c r="N126" s="93"/>
      <c r="O126" s="33"/>
      <c r="P126" s="104"/>
      <c r="Q126" s="104"/>
      <c r="R126" s="88"/>
    </row>
    <row r="127" spans="1:18" s="39" customFormat="1" ht="12.75">
      <c r="A127" s="30" t="s">
        <v>52</v>
      </c>
      <c r="B127" s="38" t="s">
        <v>130</v>
      </c>
      <c r="C127" s="112">
        <v>120</v>
      </c>
      <c r="D127" s="110">
        <v>89</v>
      </c>
      <c r="E127" s="104">
        <f t="shared" si="62"/>
        <v>209</v>
      </c>
      <c r="F127" s="108">
        <v>8</v>
      </c>
      <c r="G127" s="109">
        <f t="shared" si="59"/>
        <v>201</v>
      </c>
      <c r="H127" s="118">
        <v>5</v>
      </c>
      <c r="I127" s="110">
        <v>0</v>
      </c>
      <c r="J127" s="120">
        <f t="shared" si="44"/>
        <v>5</v>
      </c>
      <c r="K127" s="118">
        <f>E127+H127</f>
        <v>214</v>
      </c>
      <c r="L127" s="104">
        <f t="shared" si="45"/>
        <v>8</v>
      </c>
      <c r="M127" s="120">
        <f>K127-L127</f>
        <v>206</v>
      </c>
      <c r="N127" s="119">
        <v>803</v>
      </c>
      <c r="O127" s="104">
        <v>0</v>
      </c>
      <c r="P127" s="104">
        <f>N127+O127</f>
        <v>803</v>
      </c>
      <c r="Q127" s="104">
        <f aca="true" t="shared" si="66" ref="Q127:Q190">K127</f>
        <v>214</v>
      </c>
      <c r="R127" s="86">
        <f aca="true" t="shared" si="67" ref="R127:R132">Q127/P127</f>
        <v>0.26650062266500624</v>
      </c>
    </row>
    <row r="128" spans="1:18" s="39" customFormat="1" ht="12.75">
      <c r="A128" s="30" t="s">
        <v>56</v>
      </c>
      <c r="B128" s="40" t="s">
        <v>233</v>
      </c>
      <c r="C128" s="118">
        <v>164</v>
      </c>
      <c r="D128" s="104">
        <v>141</v>
      </c>
      <c r="E128" s="104">
        <f t="shared" si="62"/>
        <v>305</v>
      </c>
      <c r="F128" s="108">
        <v>11</v>
      </c>
      <c r="G128" s="109">
        <f t="shared" si="59"/>
        <v>294</v>
      </c>
      <c r="H128" s="118">
        <v>7</v>
      </c>
      <c r="I128" s="104">
        <v>0</v>
      </c>
      <c r="J128" s="120">
        <f>H128-I128</f>
        <v>7</v>
      </c>
      <c r="K128" s="118">
        <f>E128+H128</f>
        <v>312</v>
      </c>
      <c r="L128" s="104">
        <f t="shared" si="45"/>
        <v>11</v>
      </c>
      <c r="M128" s="120">
        <f>K128-L128</f>
        <v>301</v>
      </c>
      <c r="N128" s="119">
        <v>1721</v>
      </c>
      <c r="O128" s="104">
        <v>1</v>
      </c>
      <c r="P128" s="104">
        <f>N128+O128</f>
        <v>1722</v>
      </c>
      <c r="Q128" s="104">
        <f t="shared" si="66"/>
        <v>312</v>
      </c>
      <c r="R128" s="86">
        <f t="shared" si="67"/>
        <v>0.18118466898954705</v>
      </c>
    </row>
    <row r="129" spans="1:18" s="39" customFormat="1" ht="12.75">
      <c r="A129" s="30" t="s">
        <v>55</v>
      </c>
      <c r="B129" s="38" t="s">
        <v>177</v>
      </c>
      <c r="C129" s="112">
        <v>108</v>
      </c>
      <c r="D129" s="110">
        <v>135</v>
      </c>
      <c r="E129" s="104">
        <f t="shared" si="62"/>
        <v>243</v>
      </c>
      <c r="F129" s="108">
        <v>11</v>
      </c>
      <c r="G129" s="109">
        <f t="shared" si="59"/>
        <v>232</v>
      </c>
      <c r="H129" s="118">
        <v>12</v>
      </c>
      <c r="I129" s="104">
        <v>0</v>
      </c>
      <c r="J129" s="120">
        <f t="shared" si="44"/>
        <v>12</v>
      </c>
      <c r="K129" s="118">
        <f>E129+H129</f>
        <v>255</v>
      </c>
      <c r="L129" s="104">
        <f t="shared" si="45"/>
        <v>11</v>
      </c>
      <c r="M129" s="120">
        <f>K129-L129</f>
        <v>244</v>
      </c>
      <c r="N129" s="119">
        <v>1569</v>
      </c>
      <c r="O129" s="104">
        <v>0</v>
      </c>
      <c r="P129" s="104">
        <f>N129+O129</f>
        <v>1569</v>
      </c>
      <c r="Q129" s="104">
        <f t="shared" si="66"/>
        <v>255</v>
      </c>
      <c r="R129" s="86">
        <f t="shared" si="67"/>
        <v>0.16252390057361377</v>
      </c>
    </row>
    <row r="130" spans="1:18" s="39" customFormat="1" ht="12.75">
      <c r="A130" s="30" t="s">
        <v>26</v>
      </c>
      <c r="B130" s="38" t="s">
        <v>110</v>
      </c>
      <c r="C130" s="112">
        <v>65</v>
      </c>
      <c r="D130" s="110">
        <v>47</v>
      </c>
      <c r="E130" s="104">
        <f t="shared" si="62"/>
        <v>112</v>
      </c>
      <c r="F130" s="108">
        <v>6</v>
      </c>
      <c r="G130" s="109">
        <f t="shared" si="59"/>
        <v>106</v>
      </c>
      <c r="H130" s="118">
        <v>7</v>
      </c>
      <c r="I130" s="104">
        <v>0</v>
      </c>
      <c r="J130" s="120">
        <f t="shared" si="44"/>
        <v>7</v>
      </c>
      <c r="K130" s="118">
        <f>E130+H130</f>
        <v>119</v>
      </c>
      <c r="L130" s="104">
        <f t="shared" si="45"/>
        <v>6</v>
      </c>
      <c r="M130" s="120">
        <f>K130-L130</f>
        <v>113</v>
      </c>
      <c r="N130" s="119">
        <v>1069</v>
      </c>
      <c r="O130" s="104">
        <v>8</v>
      </c>
      <c r="P130" s="104">
        <f>N130+O130</f>
        <v>1077</v>
      </c>
      <c r="Q130" s="104">
        <f t="shared" si="66"/>
        <v>119</v>
      </c>
      <c r="R130" s="86">
        <f t="shared" si="67"/>
        <v>0.11049210770659239</v>
      </c>
    </row>
    <row r="131" spans="1:18" s="78" customFormat="1" ht="12.75">
      <c r="A131" s="54" t="s">
        <v>292</v>
      </c>
      <c r="B131" s="77"/>
      <c r="C131" s="114">
        <f>C127+C128+C129+C130</f>
        <v>457</v>
      </c>
      <c r="D131" s="115">
        <f aca="true" t="shared" si="68" ref="D131:P131">D127+D128+D129+D130</f>
        <v>412</v>
      </c>
      <c r="E131" s="115">
        <f t="shared" si="68"/>
        <v>869</v>
      </c>
      <c r="F131" s="115">
        <f t="shared" si="68"/>
        <v>36</v>
      </c>
      <c r="G131" s="116">
        <f t="shared" si="68"/>
        <v>833</v>
      </c>
      <c r="H131" s="114">
        <f t="shared" si="68"/>
        <v>31</v>
      </c>
      <c r="I131" s="115">
        <f t="shared" si="68"/>
        <v>0</v>
      </c>
      <c r="J131" s="116">
        <f t="shared" si="68"/>
        <v>31</v>
      </c>
      <c r="K131" s="114">
        <f t="shared" si="68"/>
        <v>900</v>
      </c>
      <c r="L131" s="115">
        <f t="shared" si="68"/>
        <v>36</v>
      </c>
      <c r="M131" s="116">
        <f t="shared" si="68"/>
        <v>864</v>
      </c>
      <c r="N131" s="117">
        <f t="shared" si="68"/>
        <v>5162</v>
      </c>
      <c r="O131" s="115">
        <f t="shared" si="68"/>
        <v>9</v>
      </c>
      <c r="P131" s="115">
        <f t="shared" si="68"/>
        <v>5171</v>
      </c>
      <c r="Q131" s="163">
        <f t="shared" si="66"/>
        <v>900</v>
      </c>
      <c r="R131" s="82">
        <f t="shared" si="67"/>
        <v>0.17404757300328758</v>
      </c>
    </row>
    <row r="132" spans="1:18" s="75" customFormat="1" ht="24.75" customHeight="1">
      <c r="A132" s="31" t="s">
        <v>280</v>
      </c>
      <c r="B132" s="55" t="s">
        <v>280</v>
      </c>
      <c r="C132" s="123">
        <f aca="true" t="shared" si="69" ref="C132:P132">C131+C125+C117+C110+C106+C99+C96+C85+C76+C69+C65+C60+C46+C37+C27+C13</f>
        <v>13083</v>
      </c>
      <c r="D132" s="124">
        <f t="shared" si="69"/>
        <v>22506</v>
      </c>
      <c r="E132" s="124">
        <f t="shared" si="69"/>
        <v>35589</v>
      </c>
      <c r="F132" s="124">
        <f t="shared" si="69"/>
        <v>2540</v>
      </c>
      <c r="G132" s="125">
        <f t="shared" si="69"/>
        <v>33049</v>
      </c>
      <c r="H132" s="123">
        <f t="shared" si="69"/>
        <v>2343</v>
      </c>
      <c r="I132" s="124">
        <f t="shared" si="69"/>
        <v>6</v>
      </c>
      <c r="J132" s="125">
        <f t="shared" si="69"/>
        <v>2337</v>
      </c>
      <c r="K132" s="123">
        <f t="shared" si="69"/>
        <v>37928</v>
      </c>
      <c r="L132" s="124">
        <f t="shared" si="69"/>
        <v>2546</v>
      </c>
      <c r="M132" s="125">
        <f t="shared" si="69"/>
        <v>38798</v>
      </c>
      <c r="N132" s="126">
        <f t="shared" si="69"/>
        <v>148709</v>
      </c>
      <c r="O132" s="124">
        <f t="shared" si="69"/>
        <v>98</v>
      </c>
      <c r="P132" s="124">
        <f t="shared" si="69"/>
        <v>148807</v>
      </c>
      <c r="Q132" s="124">
        <f t="shared" si="66"/>
        <v>37928</v>
      </c>
      <c r="R132" s="83">
        <f t="shared" si="67"/>
        <v>0.2548804827729878</v>
      </c>
    </row>
    <row r="133" spans="1:18" ht="24.75" customHeight="1">
      <c r="A133" s="139" t="s">
        <v>95</v>
      </c>
      <c r="B133" s="140"/>
      <c r="C133" s="141"/>
      <c r="D133" s="142"/>
      <c r="E133" s="143"/>
      <c r="F133" s="142"/>
      <c r="G133" s="144"/>
      <c r="H133" s="141"/>
      <c r="I133" s="142"/>
      <c r="J133" s="145"/>
      <c r="K133" s="141"/>
      <c r="L133" s="143"/>
      <c r="M133" s="146"/>
      <c r="N133" s="147"/>
      <c r="O133" s="142"/>
      <c r="P133" s="143"/>
      <c r="Q133" s="142"/>
      <c r="R133" s="148"/>
    </row>
    <row r="134" spans="1:18" ht="12.75" customHeight="1">
      <c r="A134" s="36" t="s">
        <v>247</v>
      </c>
      <c r="B134" s="53"/>
      <c r="C134" s="105"/>
      <c r="D134" s="33"/>
      <c r="E134" s="104"/>
      <c r="F134" s="33"/>
      <c r="G134" s="109"/>
      <c r="H134" s="105"/>
      <c r="I134" s="33"/>
      <c r="J134" s="106"/>
      <c r="K134" s="105"/>
      <c r="L134" s="104"/>
      <c r="M134" s="120"/>
      <c r="N134" s="93"/>
      <c r="O134" s="33"/>
      <c r="P134" s="104"/>
      <c r="Q134" s="104"/>
      <c r="R134" s="88"/>
    </row>
    <row r="135" spans="1:18" ht="12.75">
      <c r="A135" s="30" t="s">
        <v>57</v>
      </c>
      <c r="B135" s="38" t="s">
        <v>123</v>
      </c>
      <c r="C135" s="112">
        <v>144</v>
      </c>
      <c r="D135" s="110">
        <v>619</v>
      </c>
      <c r="E135" s="104">
        <f t="shared" si="62"/>
        <v>763</v>
      </c>
      <c r="F135" s="108">
        <v>71</v>
      </c>
      <c r="G135" s="109">
        <f t="shared" si="59"/>
        <v>692</v>
      </c>
      <c r="H135" s="118">
        <v>87</v>
      </c>
      <c r="I135" s="121">
        <v>0</v>
      </c>
      <c r="J135" s="120">
        <f t="shared" si="44"/>
        <v>87</v>
      </c>
      <c r="K135" s="118">
        <f>E135+H135</f>
        <v>850</v>
      </c>
      <c r="L135" s="104">
        <f t="shared" si="45"/>
        <v>71</v>
      </c>
      <c r="M135" s="120">
        <v>779</v>
      </c>
      <c r="N135" s="113">
        <v>4714</v>
      </c>
      <c r="O135" s="104">
        <v>1</v>
      </c>
      <c r="P135" s="104">
        <f>N135+O135</f>
        <v>4715</v>
      </c>
      <c r="Q135" s="104">
        <f t="shared" si="66"/>
        <v>850</v>
      </c>
      <c r="R135" s="87">
        <f>Q135/P135</f>
        <v>0.18027571580063625</v>
      </c>
    </row>
    <row r="136" spans="1:18" ht="12.75">
      <c r="A136" s="30"/>
      <c r="B136" s="38" t="s">
        <v>124</v>
      </c>
      <c r="C136" s="112">
        <v>130</v>
      </c>
      <c r="D136" s="110">
        <v>239</v>
      </c>
      <c r="E136" s="104">
        <f t="shared" si="62"/>
        <v>369</v>
      </c>
      <c r="F136" s="108">
        <v>13</v>
      </c>
      <c r="G136" s="109">
        <f t="shared" si="59"/>
        <v>356</v>
      </c>
      <c r="H136" s="118">
        <v>26</v>
      </c>
      <c r="I136" s="110">
        <v>0</v>
      </c>
      <c r="J136" s="120">
        <f t="shared" si="44"/>
        <v>26</v>
      </c>
      <c r="K136" s="118">
        <f>E136+H136</f>
        <v>395</v>
      </c>
      <c r="L136" s="104">
        <f t="shared" si="45"/>
        <v>13</v>
      </c>
      <c r="M136" s="120">
        <v>382</v>
      </c>
      <c r="N136" s="119">
        <v>1517</v>
      </c>
      <c r="O136" s="104">
        <v>2</v>
      </c>
      <c r="P136" s="104">
        <f>N136+O136</f>
        <v>1519</v>
      </c>
      <c r="Q136" s="104">
        <f t="shared" si="66"/>
        <v>395</v>
      </c>
      <c r="R136" s="87">
        <f>Q136/P136</f>
        <v>0.26003949967083606</v>
      </c>
    </row>
    <row r="137" spans="1:18" ht="12.75">
      <c r="A137" s="30"/>
      <c r="B137" s="73" t="s">
        <v>471</v>
      </c>
      <c r="C137" s="160">
        <f aca="true" t="shared" si="70" ref="C137:P137">SUM(C135:C136)</f>
        <v>274</v>
      </c>
      <c r="D137" s="161">
        <f t="shared" si="70"/>
        <v>858</v>
      </c>
      <c r="E137" s="161">
        <f t="shared" si="70"/>
        <v>1132</v>
      </c>
      <c r="F137" s="161">
        <f t="shared" si="70"/>
        <v>84</v>
      </c>
      <c r="G137" s="162">
        <f t="shared" si="70"/>
        <v>1048</v>
      </c>
      <c r="H137" s="160">
        <f t="shared" si="70"/>
        <v>113</v>
      </c>
      <c r="I137" s="161">
        <f t="shared" si="70"/>
        <v>0</v>
      </c>
      <c r="J137" s="162">
        <f t="shared" si="70"/>
        <v>113</v>
      </c>
      <c r="K137" s="160">
        <f t="shared" si="70"/>
        <v>1245</v>
      </c>
      <c r="L137" s="161">
        <f t="shared" si="70"/>
        <v>84</v>
      </c>
      <c r="M137" s="162">
        <f t="shared" si="70"/>
        <v>1161</v>
      </c>
      <c r="N137" s="192">
        <f t="shared" si="70"/>
        <v>6231</v>
      </c>
      <c r="O137" s="161">
        <f t="shared" si="70"/>
        <v>3</v>
      </c>
      <c r="P137" s="161">
        <f t="shared" si="70"/>
        <v>6234</v>
      </c>
      <c r="Q137" s="33">
        <f t="shared" si="66"/>
        <v>1245</v>
      </c>
      <c r="R137" s="181">
        <f>Q137/P137</f>
        <v>0.19971126082771895</v>
      </c>
    </row>
    <row r="138" spans="1:18" ht="12.75">
      <c r="A138" s="30" t="s">
        <v>58</v>
      </c>
      <c r="B138" s="38" t="s">
        <v>125</v>
      </c>
      <c r="C138" s="112">
        <v>113</v>
      </c>
      <c r="D138" s="110">
        <v>530</v>
      </c>
      <c r="E138" s="104">
        <f t="shared" si="62"/>
        <v>643</v>
      </c>
      <c r="F138" s="108">
        <v>51</v>
      </c>
      <c r="G138" s="109">
        <f t="shared" si="59"/>
        <v>592</v>
      </c>
      <c r="H138" s="118">
        <v>87</v>
      </c>
      <c r="I138" s="104">
        <v>0</v>
      </c>
      <c r="J138" s="120">
        <f t="shared" si="44"/>
        <v>87</v>
      </c>
      <c r="K138" s="118">
        <f>E138+H138</f>
        <v>730</v>
      </c>
      <c r="L138" s="104">
        <f t="shared" si="45"/>
        <v>51</v>
      </c>
      <c r="M138" s="120">
        <f>K138-L138</f>
        <v>679</v>
      </c>
      <c r="N138" s="119">
        <v>4408</v>
      </c>
      <c r="O138" s="104">
        <v>1</v>
      </c>
      <c r="P138" s="104">
        <f>N138+O138</f>
        <v>4409</v>
      </c>
      <c r="Q138" s="104">
        <f t="shared" si="66"/>
        <v>730</v>
      </c>
      <c r="R138" s="86">
        <f>Q138/P138</f>
        <v>0.16557042413245635</v>
      </c>
    </row>
    <row r="139" spans="1:18" ht="12.75">
      <c r="A139" s="149"/>
      <c r="B139" s="150" t="s">
        <v>296</v>
      </c>
      <c r="C139" s="151">
        <f>C135+C136+C138</f>
        <v>387</v>
      </c>
      <c r="D139" s="152">
        <f aca="true" t="shared" si="71" ref="D139:P139">D135+D136+D138</f>
        <v>1388</v>
      </c>
      <c r="E139" s="152">
        <f t="shared" si="71"/>
        <v>1775</v>
      </c>
      <c r="F139" s="152">
        <f t="shared" si="71"/>
        <v>135</v>
      </c>
      <c r="G139" s="153">
        <f t="shared" si="71"/>
        <v>1640</v>
      </c>
      <c r="H139" s="151">
        <f t="shared" si="71"/>
        <v>200</v>
      </c>
      <c r="I139" s="152">
        <f t="shared" si="71"/>
        <v>0</v>
      </c>
      <c r="J139" s="153">
        <f t="shared" si="71"/>
        <v>200</v>
      </c>
      <c r="K139" s="151">
        <f t="shared" si="71"/>
        <v>1975</v>
      </c>
      <c r="L139" s="152">
        <f t="shared" si="71"/>
        <v>135</v>
      </c>
      <c r="M139" s="153">
        <f t="shared" si="71"/>
        <v>1840</v>
      </c>
      <c r="N139" s="154">
        <f t="shared" si="71"/>
        <v>10639</v>
      </c>
      <c r="O139" s="152">
        <f t="shared" si="71"/>
        <v>4</v>
      </c>
      <c r="P139" s="155">
        <f t="shared" si="71"/>
        <v>10643</v>
      </c>
      <c r="Q139" s="138">
        <f t="shared" si="66"/>
        <v>1975</v>
      </c>
      <c r="R139" s="156">
        <f>Q139/P139</f>
        <v>0.18556797895330265</v>
      </c>
    </row>
    <row r="140" spans="1:18" ht="12.75" customHeight="1">
      <c r="A140" s="36" t="s">
        <v>248</v>
      </c>
      <c r="B140" s="53"/>
      <c r="C140" s="105"/>
      <c r="D140" s="33"/>
      <c r="E140" s="104"/>
      <c r="F140" s="33"/>
      <c r="G140" s="109"/>
      <c r="H140" s="105"/>
      <c r="I140" s="33"/>
      <c r="J140" s="106"/>
      <c r="K140" s="105"/>
      <c r="L140" s="104"/>
      <c r="M140" s="120"/>
      <c r="N140" s="93"/>
      <c r="O140" s="33"/>
      <c r="P140" s="104"/>
      <c r="Q140" s="104"/>
      <c r="R140" s="88"/>
    </row>
    <row r="141" spans="1:18" ht="12.75">
      <c r="A141" s="30" t="s">
        <v>59</v>
      </c>
      <c r="B141" s="32" t="s">
        <v>255</v>
      </c>
      <c r="C141" s="107">
        <v>144</v>
      </c>
      <c r="D141" s="108">
        <v>420</v>
      </c>
      <c r="E141" s="104">
        <f t="shared" si="62"/>
        <v>564</v>
      </c>
      <c r="F141" s="104">
        <v>29</v>
      </c>
      <c r="G141" s="109">
        <f t="shared" si="59"/>
        <v>535</v>
      </c>
      <c r="H141" s="118">
        <v>78</v>
      </c>
      <c r="I141" s="104">
        <v>0</v>
      </c>
      <c r="J141" s="120">
        <f t="shared" si="44"/>
        <v>78</v>
      </c>
      <c r="K141" s="118">
        <f>E141+H141</f>
        <v>642</v>
      </c>
      <c r="L141" s="104">
        <f t="shared" si="45"/>
        <v>29</v>
      </c>
      <c r="M141" s="120">
        <f>K141-L141</f>
        <v>613</v>
      </c>
      <c r="N141" s="119">
        <v>3804</v>
      </c>
      <c r="O141" s="104">
        <v>0</v>
      </c>
      <c r="P141" s="104">
        <f>SUM(N141:O141)</f>
        <v>3804</v>
      </c>
      <c r="Q141" s="104">
        <f t="shared" si="66"/>
        <v>642</v>
      </c>
      <c r="R141" s="86">
        <f aca="true" t="shared" si="72" ref="R141:R154">Q141/P141</f>
        <v>0.16876971608832808</v>
      </c>
    </row>
    <row r="142" spans="1:18" ht="12.75">
      <c r="A142" s="36"/>
      <c r="B142" s="32" t="s">
        <v>256</v>
      </c>
      <c r="C142" s="107">
        <v>126</v>
      </c>
      <c r="D142" s="108">
        <v>420</v>
      </c>
      <c r="E142" s="104">
        <f t="shared" si="62"/>
        <v>546</v>
      </c>
      <c r="F142" s="104">
        <v>34</v>
      </c>
      <c r="G142" s="109">
        <f t="shared" si="59"/>
        <v>512</v>
      </c>
      <c r="H142" s="118">
        <v>112</v>
      </c>
      <c r="I142" s="104">
        <v>0</v>
      </c>
      <c r="J142" s="120">
        <f t="shared" si="44"/>
        <v>112</v>
      </c>
      <c r="K142" s="118">
        <f aca="true" t="shared" si="73" ref="K142:K154">E142+H142</f>
        <v>658</v>
      </c>
      <c r="L142" s="104">
        <f t="shared" si="45"/>
        <v>34</v>
      </c>
      <c r="M142" s="120">
        <f>K142-L142</f>
        <v>624</v>
      </c>
      <c r="N142" s="119">
        <v>3798</v>
      </c>
      <c r="O142" s="104">
        <v>0</v>
      </c>
      <c r="P142" s="104">
        <f aca="true" t="shared" si="74" ref="P142:P148">SUM(N142:O142)</f>
        <v>3798</v>
      </c>
      <c r="Q142" s="104">
        <f t="shared" si="66"/>
        <v>658</v>
      </c>
      <c r="R142" s="86">
        <f t="shared" si="72"/>
        <v>0.1732490784623486</v>
      </c>
    </row>
    <row r="143" spans="1:18" ht="12.75">
      <c r="A143" s="36"/>
      <c r="B143" s="32" t="s">
        <v>257</v>
      </c>
      <c r="C143" s="107">
        <v>147</v>
      </c>
      <c r="D143" s="108">
        <v>416</v>
      </c>
      <c r="E143" s="104">
        <f t="shared" si="62"/>
        <v>563</v>
      </c>
      <c r="F143" s="104">
        <v>26</v>
      </c>
      <c r="G143" s="109">
        <f t="shared" si="59"/>
        <v>537</v>
      </c>
      <c r="H143" s="118">
        <v>131</v>
      </c>
      <c r="I143" s="104">
        <v>0</v>
      </c>
      <c r="J143" s="120">
        <f t="shared" si="44"/>
        <v>131</v>
      </c>
      <c r="K143" s="118">
        <v>697</v>
      </c>
      <c r="L143" s="104">
        <f t="shared" si="45"/>
        <v>26</v>
      </c>
      <c r="M143" s="120">
        <v>669</v>
      </c>
      <c r="N143" s="119">
        <v>3806</v>
      </c>
      <c r="O143" s="104">
        <v>0</v>
      </c>
      <c r="P143" s="104">
        <f t="shared" si="74"/>
        <v>3806</v>
      </c>
      <c r="Q143" s="104">
        <f t="shared" si="66"/>
        <v>697</v>
      </c>
      <c r="R143" s="86">
        <f t="shared" si="72"/>
        <v>0.18313189700472937</v>
      </c>
    </row>
    <row r="144" spans="1:18" ht="12.75">
      <c r="A144" s="36"/>
      <c r="B144" s="32" t="s">
        <v>258</v>
      </c>
      <c r="C144" s="107">
        <v>126</v>
      </c>
      <c r="D144" s="108">
        <v>418</v>
      </c>
      <c r="E144" s="104">
        <f t="shared" si="62"/>
        <v>544</v>
      </c>
      <c r="F144" s="104">
        <v>44</v>
      </c>
      <c r="G144" s="109">
        <f t="shared" si="59"/>
        <v>500</v>
      </c>
      <c r="H144" s="118">
        <v>87</v>
      </c>
      <c r="I144" s="104">
        <v>0</v>
      </c>
      <c r="J144" s="120">
        <f t="shared" si="44"/>
        <v>87</v>
      </c>
      <c r="K144" s="118">
        <f t="shared" si="73"/>
        <v>631</v>
      </c>
      <c r="L144" s="104">
        <f t="shared" si="45"/>
        <v>44</v>
      </c>
      <c r="M144" s="120">
        <f>K144-L144</f>
        <v>587</v>
      </c>
      <c r="N144" s="119">
        <v>3794</v>
      </c>
      <c r="O144" s="104">
        <v>0</v>
      </c>
      <c r="P144" s="104">
        <f t="shared" si="74"/>
        <v>3794</v>
      </c>
      <c r="Q144" s="104">
        <f t="shared" si="66"/>
        <v>631</v>
      </c>
      <c r="R144" s="86">
        <f t="shared" si="72"/>
        <v>0.16631523458091724</v>
      </c>
    </row>
    <row r="145" spans="1:18" ht="12.75">
      <c r="A145" s="36"/>
      <c r="B145" s="32" t="s">
        <v>259</v>
      </c>
      <c r="C145" s="107">
        <v>119</v>
      </c>
      <c r="D145" s="108">
        <v>407</v>
      </c>
      <c r="E145" s="104">
        <f t="shared" si="62"/>
        <v>526</v>
      </c>
      <c r="F145" s="104">
        <v>51</v>
      </c>
      <c r="G145" s="109">
        <f t="shared" si="59"/>
        <v>475</v>
      </c>
      <c r="H145" s="118">
        <v>108</v>
      </c>
      <c r="I145" s="104">
        <v>0</v>
      </c>
      <c r="J145" s="120">
        <f t="shared" si="44"/>
        <v>108</v>
      </c>
      <c r="K145" s="118">
        <f t="shared" si="73"/>
        <v>634</v>
      </c>
      <c r="L145" s="104">
        <f aca="true" t="shared" si="75" ref="L145:L214">F145+I145</f>
        <v>51</v>
      </c>
      <c r="M145" s="120">
        <f aca="true" t="shared" si="76" ref="M145:M214">K145-L145</f>
        <v>583</v>
      </c>
      <c r="N145" s="119">
        <v>3813</v>
      </c>
      <c r="O145" s="104">
        <v>1</v>
      </c>
      <c r="P145" s="104">
        <f t="shared" si="74"/>
        <v>3814</v>
      </c>
      <c r="Q145" s="104">
        <f t="shared" si="66"/>
        <v>634</v>
      </c>
      <c r="R145" s="86">
        <f t="shared" si="72"/>
        <v>0.16622968012585213</v>
      </c>
    </row>
    <row r="146" spans="1:18" ht="12.75">
      <c r="A146" s="36"/>
      <c r="B146" s="32" t="s">
        <v>260</v>
      </c>
      <c r="C146" s="107">
        <v>130</v>
      </c>
      <c r="D146" s="108">
        <v>470</v>
      </c>
      <c r="E146" s="104">
        <f t="shared" si="62"/>
        <v>600</v>
      </c>
      <c r="F146" s="104">
        <v>40</v>
      </c>
      <c r="G146" s="109">
        <f t="shared" si="59"/>
        <v>560</v>
      </c>
      <c r="H146" s="118">
        <v>105</v>
      </c>
      <c r="I146" s="104">
        <v>0</v>
      </c>
      <c r="J146" s="120">
        <f t="shared" si="44"/>
        <v>105</v>
      </c>
      <c r="K146" s="118">
        <f t="shared" si="73"/>
        <v>705</v>
      </c>
      <c r="L146" s="104">
        <f t="shared" si="75"/>
        <v>40</v>
      </c>
      <c r="M146" s="120">
        <f t="shared" si="76"/>
        <v>665</v>
      </c>
      <c r="N146" s="119">
        <v>3806</v>
      </c>
      <c r="O146" s="104">
        <v>1</v>
      </c>
      <c r="P146" s="104">
        <f t="shared" si="74"/>
        <v>3807</v>
      </c>
      <c r="Q146" s="104">
        <f t="shared" si="66"/>
        <v>705</v>
      </c>
      <c r="R146" s="86">
        <f t="shared" si="72"/>
        <v>0.18518518518518517</v>
      </c>
    </row>
    <row r="147" spans="1:18" ht="12.75">
      <c r="A147" s="36"/>
      <c r="B147" s="32" t="s">
        <v>261</v>
      </c>
      <c r="C147" s="107">
        <v>125</v>
      </c>
      <c r="D147" s="108">
        <v>479</v>
      </c>
      <c r="E147" s="104">
        <f t="shared" si="62"/>
        <v>604</v>
      </c>
      <c r="F147" s="104">
        <v>47</v>
      </c>
      <c r="G147" s="109">
        <f t="shared" si="59"/>
        <v>557</v>
      </c>
      <c r="H147" s="118">
        <v>116</v>
      </c>
      <c r="I147" s="104">
        <v>0</v>
      </c>
      <c r="J147" s="120">
        <f>H147-I147</f>
        <v>116</v>
      </c>
      <c r="K147" s="118">
        <f t="shared" si="73"/>
        <v>720</v>
      </c>
      <c r="L147" s="104">
        <f t="shared" si="75"/>
        <v>47</v>
      </c>
      <c r="M147" s="120">
        <f t="shared" si="76"/>
        <v>673</v>
      </c>
      <c r="N147" s="119">
        <v>3804</v>
      </c>
      <c r="O147" s="104">
        <v>0</v>
      </c>
      <c r="P147" s="104">
        <f t="shared" si="74"/>
        <v>3804</v>
      </c>
      <c r="Q147" s="104">
        <f t="shared" si="66"/>
        <v>720</v>
      </c>
      <c r="R147" s="86">
        <f t="shared" si="72"/>
        <v>0.1892744479495268</v>
      </c>
    </row>
    <row r="148" spans="1:18" ht="12.75">
      <c r="A148" s="41"/>
      <c r="B148" s="32" t="s">
        <v>262</v>
      </c>
      <c r="C148" s="107">
        <v>132</v>
      </c>
      <c r="D148" s="108">
        <v>424</v>
      </c>
      <c r="E148" s="104">
        <f t="shared" si="62"/>
        <v>556</v>
      </c>
      <c r="F148" s="104">
        <v>45</v>
      </c>
      <c r="G148" s="109">
        <f t="shared" si="59"/>
        <v>511</v>
      </c>
      <c r="H148" s="118">
        <v>84</v>
      </c>
      <c r="I148" s="104">
        <v>0</v>
      </c>
      <c r="J148" s="120">
        <f>H148-I148</f>
        <v>84</v>
      </c>
      <c r="K148" s="118">
        <f t="shared" si="73"/>
        <v>640</v>
      </c>
      <c r="L148" s="104">
        <f t="shared" si="75"/>
        <v>45</v>
      </c>
      <c r="M148" s="120">
        <f t="shared" si="76"/>
        <v>595</v>
      </c>
      <c r="N148" s="113">
        <v>3809</v>
      </c>
      <c r="O148" s="104">
        <v>0</v>
      </c>
      <c r="P148" s="104">
        <f t="shared" si="74"/>
        <v>3809</v>
      </c>
      <c r="Q148" s="104">
        <f t="shared" si="66"/>
        <v>640</v>
      </c>
      <c r="R148" s="86">
        <f t="shared" si="72"/>
        <v>0.16802310317668678</v>
      </c>
    </row>
    <row r="149" spans="1:18" ht="12.75">
      <c r="A149" s="41"/>
      <c r="B149" s="38" t="s">
        <v>122</v>
      </c>
      <c r="C149" s="112">
        <v>55</v>
      </c>
      <c r="D149" s="110">
        <v>98</v>
      </c>
      <c r="E149" s="104">
        <f t="shared" si="62"/>
        <v>153</v>
      </c>
      <c r="F149" s="104">
        <v>7</v>
      </c>
      <c r="G149" s="109">
        <f t="shared" si="59"/>
        <v>146</v>
      </c>
      <c r="H149" s="118">
        <v>25</v>
      </c>
      <c r="I149" s="104">
        <v>0</v>
      </c>
      <c r="J149" s="120">
        <f>H149-I149</f>
        <v>25</v>
      </c>
      <c r="K149" s="118">
        <f t="shared" si="73"/>
        <v>178</v>
      </c>
      <c r="L149" s="104">
        <f t="shared" si="75"/>
        <v>7</v>
      </c>
      <c r="M149" s="120">
        <f t="shared" si="76"/>
        <v>171</v>
      </c>
      <c r="N149" s="119">
        <v>875</v>
      </c>
      <c r="O149" s="104">
        <v>0</v>
      </c>
      <c r="P149" s="104">
        <f aca="true" t="shared" si="77" ref="P149:P217">N149+O149</f>
        <v>875</v>
      </c>
      <c r="Q149" s="104">
        <f t="shared" si="66"/>
        <v>178</v>
      </c>
      <c r="R149" s="86">
        <f t="shared" si="72"/>
        <v>0.20342857142857143</v>
      </c>
    </row>
    <row r="150" spans="1:18" ht="12.75">
      <c r="A150" s="41"/>
      <c r="B150" s="73" t="s">
        <v>472</v>
      </c>
      <c r="C150" s="160">
        <f>SUM(C141:C149)</f>
        <v>1104</v>
      </c>
      <c r="D150" s="161">
        <f aca="true" t="shared" si="78" ref="D150:P150">SUM(D141:D149)</f>
        <v>3552</v>
      </c>
      <c r="E150" s="161">
        <f t="shared" si="78"/>
        <v>4656</v>
      </c>
      <c r="F150" s="161">
        <f t="shared" si="78"/>
        <v>323</v>
      </c>
      <c r="G150" s="162">
        <f t="shared" si="78"/>
        <v>4333</v>
      </c>
      <c r="H150" s="160">
        <f t="shared" si="78"/>
        <v>846</v>
      </c>
      <c r="I150" s="161">
        <f t="shared" si="78"/>
        <v>0</v>
      </c>
      <c r="J150" s="162">
        <f t="shared" si="78"/>
        <v>846</v>
      </c>
      <c r="K150" s="160">
        <f t="shared" si="78"/>
        <v>5505</v>
      </c>
      <c r="L150" s="161">
        <f t="shared" si="78"/>
        <v>323</v>
      </c>
      <c r="M150" s="162">
        <f t="shared" si="78"/>
        <v>5180</v>
      </c>
      <c r="N150" s="192">
        <f t="shared" si="78"/>
        <v>31309</v>
      </c>
      <c r="O150" s="161">
        <f t="shared" si="78"/>
        <v>2</v>
      </c>
      <c r="P150" s="161">
        <f t="shared" si="78"/>
        <v>31311</v>
      </c>
      <c r="Q150" s="33">
        <f t="shared" si="66"/>
        <v>5505</v>
      </c>
      <c r="R150" s="88">
        <f t="shared" si="72"/>
        <v>0.17581680559547763</v>
      </c>
    </row>
    <row r="151" spans="1:18" ht="12.75">
      <c r="A151" s="30" t="s">
        <v>60</v>
      </c>
      <c r="B151" s="38" t="s">
        <v>263</v>
      </c>
      <c r="C151" s="112">
        <v>115</v>
      </c>
      <c r="D151" s="110">
        <v>293</v>
      </c>
      <c r="E151" s="104">
        <f t="shared" si="62"/>
        <v>408</v>
      </c>
      <c r="F151" s="104">
        <v>46</v>
      </c>
      <c r="G151" s="109">
        <f t="shared" si="59"/>
        <v>362</v>
      </c>
      <c r="H151" s="118">
        <v>60</v>
      </c>
      <c r="I151" s="104">
        <v>0</v>
      </c>
      <c r="J151" s="120">
        <f>H151-I151</f>
        <v>60</v>
      </c>
      <c r="K151" s="118">
        <f t="shared" si="73"/>
        <v>468</v>
      </c>
      <c r="L151" s="104">
        <f t="shared" si="75"/>
        <v>46</v>
      </c>
      <c r="M151" s="120">
        <f t="shared" si="76"/>
        <v>422</v>
      </c>
      <c r="N151" s="113">
        <v>2794</v>
      </c>
      <c r="O151" s="104">
        <v>0</v>
      </c>
      <c r="P151" s="104">
        <f t="shared" si="77"/>
        <v>2794</v>
      </c>
      <c r="Q151" s="104">
        <f t="shared" si="66"/>
        <v>468</v>
      </c>
      <c r="R151" s="86">
        <f t="shared" si="72"/>
        <v>0.16750178954903364</v>
      </c>
    </row>
    <row r="152" spans="1:18" ht="12.75">
      <c r="A152" s="30"/>
      <c r="B152" s="38" t="s">
        <v>264</v>
      </c>
      <c r="C152" s="112">
        <v>91</v>
      </c>
      <c r="D152" s="110">
        <v>309</v>
      </c>
      <c r="E152" s="104">
        <f t="shared" si="62"/>
        <v>400</v>
      </c>
      <c r="F152" s="104">
        <v>74</v>
      </c>
      <c r="G152" s="109">
        <f t="shared" si="59"/>
        <v>326</v>
      </c>
      <c r="H152" s="118">
        <v>78</v>
      </c>
      <c r="I152" s="104">
        <v>0</v>
      </c>
      <c r="J152" s="120">
        <f>H152-I152</f>
        <v>78</v>
      </c>
      <c r="K152" s="118">
        <f t="shared" si="73"/>
        <v>478</v>
      </c>
      <c r="L152" s="104">
        <f t="shared" si="75"/>
        <v>74</v>
      </c>
      <c r="M152" s="120">
        <f t="shared" si="76"/>
        <v>404</v>
      </c>
      <c r="N152" s="119">
        <v>2881</v>
      </c>
      <c r="O152" s="104">
        <v>0</v>
      </c>
      <c r="P152" s="104">
        <f t="shared" si="77"/>
        <v>2881</v>
      </c>
      <c r="Q152" s="104">
        <f t="shared" si="66"/>
        <v>478</v>
      </c>
      <c r="R152" s="86">
        <f t="shared" si="72"/>
        <v>0.16591461298160362</v>
      </c>
    </row>
    <row r="153" spans="1:18" ht="12.75">
      <c r="A153" s="30"/>
      <c r="B153" s="73" t="s">
        <v>473</v>
      </c>
      <c r="C153" s="160">
        <f>SUM(C151:C152)</f>
        <v>206</v>
      </c>
      <c r="D153" s="161">
        <f aca="true" t="shared" si="79" ref="D153:P153">SUM(D151:D152)</f>
        <v>602</v>
      </c>
      <c r="E153" s="161">
        <f t="shared" si="79"/>
        <v>808</v>
      </c>
      <c r="F153" s="161">
        <f t="shared" si="79"/>
        <v>120</v>
      </c>
      <c r="G153" s="162">
        <f t="shared" si="79"/>
        <v>688</v>
      </c>
      <c r="H153" s="160">
        <f t="shared" si="79"/>
        <v>138</v>
      </c>
      <c r="I153" s="161">
        <f t="shared" si="79"/>
        <v>0</v>
      </c>
      <c r="J153" s="162">
        <f t="shared" si="79"/>
        <v>138</v>
      </c>
      <c r="K153" s="160">
        <f t="shared" si="79"/>
        <v>946</v>
      </c>
      <c r="L153" s="161">
        <f t="shared" si="79"/>
        <v>120</v>
      </c>
      <c r="M153" s="162">
        <f t="shared" si="79"/>
        <v>826</v>
      </c>
      <c r="N153" s="192">
        <f t="shared" si="79"/>
        <v>5675</v>
      </c>
      <c r="O153" s="161">
        <f t="shared" si="79"/>
        <v>0</v>
      </c>
      <c r="P153" s="161">
        <f t="shared" si="79"/>
        <v>5675</v>
      </c>
      <c r="Q153" s="33">
        <f t="shared" si="66"/>
        <v>946</v>
      </c>
      <c r="R153" s="88">
        <f t="shared" si="72"/>
        <v>0.16669603524229074</v>
      </c>
    </row>
    <row r="154" spans="1:18" ht="12.75">
      <c r="A154" s="30" t="s">
        <v>96</v>
      </c>
      <c r="B154" s="38" t="s">
        <v>121</v>
      </c>
      <c r="C154" s="112">
        <v>19</v>
      </c>
      <c r="D154" s="110">
        <v>83</v>
      </c>
      <c r="E154" s="104">
        <f t="shared" si="62"/>
        <v>102</v>
      </c>
      <c r="F154" s="104">
        <v>7</v>
      </c>
      <c r="G154" s="109">
        <f t="shared" si="59"/>
        <v>95</v>
      </c>
      <c r="H154" s="118">
        <v>33</v>
      </c>
      <c r="I154" s="121">
        <v>0</v>
      </c>
      <c r="J154" s="120">
        <f>H154-I154</f>
        <v>33</v>
      </c>
      <c r="K154" s="118">
        <f t="shared" si="73"/>
        <v>135</v>
      </c>
      <c r="L154" s="104">
        <f t="shared" si="75"/>
        <v>7</v>
      </c>
      <c r="M154" s="120">
        <v>128</v>
      </c>
      <c r="N154" s="93">
        <v>732</v>
      </c>
      <c r="O154" s="104">
        <v>0</v>
      </c>
      <c r="P154" s="104">
        <f t="shared" si="77"/>
        <v>732</v>
      </c>
      <c r="Q154" s="104">
        <f t="shared" si="66"/>
        <v>135</v>
      </c>
      <c r="R154" s="86">
        <f t="shared" si="72"/>
        <v>0.18442622950819673</v>
      </c>
    </row>
    <row r="155" spans="1:18" ht="12.75">
      <c r="A155" s="149"/>
      <c r="B155" s="150" t="s">
        <v>297</v>
      </c>
      <c r="C155" s="151">
        <f>C141+C142+C143+C144+C145+C146+C147+C148+C149+C151+C152+C154</f>
        <v>1329</v>
      </c>
      <c r="D155" s="152">
        <f aca="true" t="shared" si="80" ref="D155:P155">D141+D142+D143+D144+D145+D146+D147+D148+D149+D151+D152+D154</f>
        <v>4237</v>
      </c>
      <c r="E155" s="152">
        <f t="shared" si="80"/>
        <v>5566</v>
      </c>
      <c r="F155" s="152">
        <f t="shared" si="80"/>
        <v>450</v>
      </c>
      <c r="G155" s="153">
        <f t="shared" si="80"/>
        <v>5116</v>
      </c>
      <c r="H155" s="151">
        <f t="shared" si="80"/>
        <v>1017</v>
      </c>
      <c r="I155" s="152">
        <f t="shared" si="80"/>
        <v>0</v>
      </c>
      <c r="J155" s="153">
        <f t="shared" si="80"/>
        <v>1017</v>
      </c>
      <c r="K155" s="151">
        <f t="shared" si="80"/>
        <v>6586</v>
      </c>
      <c r="L155" s="152">
        <f t="shared" si="80"/>
        <v>450</v>
      </c>
      <c r="M155" s="153">
        <f t="shared" si="80"/>
        <v>6134</v>
      </c>
      <c r="N155" s="154">
        <f t="shared" si="80"/>
        <v>37716</v>
      </c>
      <c r="O155" s="152">
        <f t="shared" si="80"/>
        <v>2</v>
      </c>
      <c r="P155" s="155">
        <f t="shared" si="80"/>
        <v>37718</v>
      </c>
      <c r="Q155" s="138">
        <f t="shared" si="66"/>
        <v>6586</v>
      </c>
      <c r="R155" s="156">
        <f>Q155/P155</f>
        <v>0.1746115912826767</v>
      </c>
    </row>
    <row r="156" spans="1:18" ht="12.75" customHeight="1">
      <c r="A156" s="36" t="s">
        <v>295</v>
      </c>
      <c r="B156" s="53"/>
      <c r="C156" s="105"/>
      <c r="D156" s="33"/>
      <c r="E156" s="104"/>
      <c r="F156" s="33"/>
      <c r="G156" s="109"/>
      <c r="H156" s="105"/>
      <c r="I156" s="33"/>
      <c r="J156" s="106"/>
      <c r="K156" s="105"/>
      <c r="L156" s="104"/>
      <c r="M156" s="120"/>
      <c r="N156" s="93"/>
      <c r="O156" s="33"/>
      <c r="P156" s="104"/>
      <c r="Q156" s="104"/>
      <c r="R156" s="88"/>
    </row>
    <row r="157" spans="1:18" ht="12.75">
      <c r="A157" s="30" t="s">
        <v>61</v>
      </c>
      <c r="B157" s="38" t="s">
        <v>147</v>
      </c>
      <c r="C157" s="112">
        <v>152</v>
      </c>
      <c r="D157" s="110">
        <v>771</v>
      </c>
      <c r="E157" s="104">
        <f t="shared" si="62"/>
        <v>923</v>
      </c>
      <c r="F157" s="108">
        <v>72</v>
      </c>
      <c r="G157" s="109">
        <f t="shared" si="59"/>
        <v>851</v>
      </c>
      <c r="H157" s="118">
        <v>140</v>
      </c>
      <c r="I157" s="110">
        <v>0</v>
      </c>
      <c r="J157" s="120">
        <f aca="true" t="shared" si="81" ref="J157:J162">H157-I157</f>
        <v>140</v>
      </c>
      <c r="K157" s="118">
        <f aca="true" t="shared" si="82" ref="K157:K162">E157+H157</f>
        <v>1063</v>
      </c>
      <c r="L157" s="104">
        <f t="shared" si="75"/>
        <v>72</v>
      </c>
      <c r="M157" s="120">
        <f t="shared" si="76"/>
        <v>991</v>
      </c>
      <c r="N157" s="119">
        <v>8285</v>
      </c>
      <c r="O157" s="104">
        <v>0</v>
      </c>
      <c r="P157" s="104">
        <f t="shared" si="77"/>
        <v>8285</v>
      </c>
      <c r="Q157" s="104">
        <f t="shared" si="66"/>
        <v>1063</v>
      </c>
      <c r="R157" s="86">
        <f>Q157/P157</f>
        <v>0.12830416415208207</v>
      </c>
    </row>
    <row r="158" spans="1:18" ht="12.75">
      <c r="A158" s="30" t="s">
        <v>63</v>
      </c>
      <c r="B158" s="38" t="s">
        <v>138</v>
      </c>
      <c r="C158" s="112">
        <v>77</v>
      </c>
      <c r="D158" s="110">
        <v>140</v>
      </c>
      <c r="E158" s="104">
        <f t="shared" si="62"/>
        <v>217</v>
      </c>
      <c r="F158" s="108">
        <v>7</v>
      </c>
      <c r="G158" s="109">
        <f t="shared" si="59"/>
        <v>210</v>
      </c>
      <c r="H158" s="118">
        <v>59</v>
      </c>
      <c r="I158" s="104">
        <v>0</v>
      </c>
      <c r="J158" s="120">
        <f t="shared" si="81"/>
        <v>59</v>
      </c>
      <c r="K158" s="118">
        <f t="shared" si="82"/>
        <v>276</v>
      </c>
      <c r="L158" s="104">
        <f t="shared" si="75"/>
        <v>7</v>
      </c>
      <c r="M158" s="120">
        <f t="shared" si="76"/>
        <v>269</v>
      </c>
      <c r="N158" s="119">
        <v>2946</v>
      </c>
      <c r="O158" s="104">
        <v>2</v>
      </c>
      <c r="P158" s="104">
        <f t="shared" si="77"/>
        <v>2948</v>
      </c>
      <c r="Q158" s="104">
        <f t="shared" si="66"/>
        <v>276</v>
      </c>
      <c r="R158" s="86">
        <f aca="true" t="shared" si="83" ref="R158:R163">Q158/P158</f>
        <v>0.09362279511533243</v>
      </c>
    </row>
    <row r="159" spans="1:18" ht="12.75">
      <c r="A159" s="30" t="s">
        <v>64</v>
      </c>
      <c r="B159" s="38" t="s">
        <v>139</v>
      </c>
      <c r="C159" s="112">
        <v>90</v>
      </c>
      <c r="D159" s="110">
        <v>326</v>
      </c>
      <c r="E159" s="104">
        <f t="shared" si="62"/>
        <v>416</v>
      </c>
      <c r="F159" s="108">
        <v>47</v>
      </c>
      <c r="G159" s="109">
        <f t="shared" si="59"/>
        <v>369</v>
      </c>
      <c r="H159" s="118">
        <v>75</v>
      </c>
      <c r="I159" s="121">
        <v>1</v>
      </c>
      <c r="J159" s="120">
        <f t="shared" si="81"/>
        <v>74</v>
      </c>
      <c r="K159" s="118">
        <f t="shared" si="82"/>
        <v>491</v>
      </c>
      <c r="L159" s="104">
        <f t="shared" si="75"/>
        <v>48</v>
      </c>
      <c r="M159" s="120">
        <f t="shared" si="76"/>
        <v>443</v>
      </c>
      <c r="N159" s="119">
        <v>4717</v>
      </c>
      <c r="O159" s="104">
        <v>2</v>
      </c>
      <c r="P159" s="104">
        <f t="shared" si="77"/>
        <v>4719</v>
      </c>
      <c r="Q159" s="104">
        <f t="shared" si="66"/>
        <v>491</v>
      </c>
      <c r="R159" s="86">
        <f t="shared" si="83"/>
        <v>0.10404746768383132</v>
      </c>
    </row>
    <row r="160" spans="1:18" ht="12.75">
      <c r="A160" s="30" t="s">
        <v>66</v>
      </c>
      <c r="B160" s="38" t="s">
        <v>144</v>
      </c>
      <c r="C160" s="112">
        <v>92</v>
      </c>
      <c r="D160" s="110">
        <v>776</v>
      </c>
      <c r="E160" s="104">
        <f t="shared" si="62"/>
        <v>868</v>
      </c>
      <c r="F160" s="108">
        <v>194</v>
      </c>
      <c r="G160" s="109">
        <f t="shared" si="59"/>
        <v>674</v>
      </c>
      <c r="H160" s="118">
        <v>97</v>
      </c>
      <c r="I160" s="104">
        <v>0</v>
      </c>
      <c r="J160" s="120">
        <f t="shared" si="81"/>
        <v>97</v>
      </c>
      <c r="K160" s="118">
        <f t="shared" si="82"/>
        <v>965</v>
      </c>
      <c r="L160" s="104">
        <f t="shared" si="75"/>
        <v>194</v>
      </c>
      <c r="M160" s="120">
        <f t="shared" si="76"/>
        <v>771</v>
      </c>
      <c r="N160" s="113">
        <f>7770-117</f>
        <v>7653</v>
      </c>
      <c r="O160" s="121">
        <v>3</v>
      </c>
      <c r="P160" s="104">
        <f t="shared" si="77"/>
        <v>7656</v>
      </c>
      <c r="Q160" s="104">
        <f t="shared" si="66"/>
        <v>965</v>
      </c>
      <c r="R160" s="86">
        <f t="shared" si="83"/>
        <v>0.12604493207941483</v>
      </c>
    </row>
    <row r="161" spans="1:18" ht="12.75">
      <c r="A161" s="30" t="s">
        <v>62</v>
      </c>
      <c r="B161" s="38" t="s">
        <v>265</v>
      </c>
      <c r="C161" s="112">
        <v>221</v>
      </c>
      <c r="D161" s="110">
        <v>780</v>
      </c>
      <c r="E161" s="104">
        <f t="shared" si="62"/>
        <v>1001</v>
      </c>
      <c r="F161" s="108">
        <v>121</v>
      </c>
      <c r="G161" s="109">
        <f t="shared" si="59"/>
        <v>880</v>
      </c>
      <c r="H161" s="118">
        <v>195</v>
      </c>
      <c r="I161" s="121">
        <v>0</v>
      </c>
      <c r="J161" s="120">
        <f t="shared" si="81"/>
        <v>195</v>
      </c>
      <c r="K161" s="118">
        <f t="shared" si="82"/>
        <v>1196</v>
      </c>
      <c r="L161" s="104">
        <f t="shared" si="75"/>
        <v>121</v>
      </c>
      <c r="M161" s="120">
        <f t="shared" si="76"/>
        <v>1075</v>
      </c>
      <c r="N161" s="113">
        <v>9727</v>
      </c>
      <c r="O161" s="121">
        <v>0</v>
      </c>
      <c r="P161" s="104">
        <f t="shared" si="77"/>
        <v>9727</v>
      </c>
      <c r="Q161" s="104">
        <f t="shared" si="66"/>
        <v>1196</v>
      </c>
      <c r="R161" s="86">
        <f t="shared" si="83"/>
        <v>0.12295671841266577</v>
      </c>
    </row>
    <row r="162" spans="1:18" ht="12.75">
      <c r="A162" s="30"/>
      <c r="B162" s="38" t="s">
        <v>266</v>
      </c>
      <c r="C162" s="112">
        <v>222</v>
      </c>
      <c r="D162" s="110">
        <v>696</v>
      </c>
      <c r="E162" s="104">
        <f t="shared" si="62"/>
        <v>918</v>
      </c>
      <c r="F162" s="108">
        <v>115</v>
      </c>
      <c r="G162" s="109">
        <f t="shared" si="59"/>
        <v>803</v>
      </c>
      <c r="H162" s="118">
        <v>160</v>
      </c>
      <c r="I162" s="110">
        <v>0</v>
      </c>
      <c r="J162" s="120">
        <f t="shared" si="81"/>
        <v>160</v>
      </c>
      <c r="K162" s="118">
        <f t="shared" si="82"/>
        <v>1078</v>
      </c>
      <c r="L162" s="104">
        <f t="shared" si="75"/>
        <v>115</v>
      </c>
      <c r="M162" s="120">
        <f t="shared" si="76"/>
        <v>963</v>
      </c>
      <c r="N162" s="119">
        <v>9655</v>
      </c>
      <c r="O162" s="104">
        <v>0</v>
      </c>
      <c r="P162" s="104">
        <f t="shared" si="77"/>
        <v>9655</v>
      </c>
      <c r="Q162" s="104">
        <f t="shared" si="66"/>
        <v>1078</v>
      </c>
      <c r="R162" s="86">
        <f t="shared" si="83"/>
        <v>0.11165199378560331</v>
      </c>
    </row>
    <row r="163" spans="1:18" ht="12.75">
      <c r="A163" s="30"/>
      <c r="B163" s="73" t="s">
        <v>474</v>
      </c>
      <c r="C163" s="160">
        <f>SUM(C161:C162)</f>
        <v>443</v>
      </c>
      <c r="D163" s="161">
        <f aca="true" t="shared" si="84" ref="D163:P163">SUM(D161:D162)</f>
        <v>1476</v>
      </c>
      <c r="E163" s="161">
        <f t="shared" si="84"/>
        <v>1919</v>
      </c>
      <c r="F163" s="161">
        <f t="shared" si="84"/>
        <v>236</v>
      </c>
      <c r="G163" s="162">
        <f t="shared" si="84"/>
        <v>1683</v>
      </c>
      <c r="H163" s="160">
        <f t="shared" si="84"/>
        <v>355</v>
      </c>
      <c r="I163" s="161">
        <f t="shared" si="84"/>
        <v>0</v>
      </c>
      <c r="J163" s="162">
        <f t="shared" si="84"/>
        <v>355</v>
      </c>
      <c r="K163" s="160">
        <f t="shared" si="84"/>
        <v>2274</v>
      </c>
      <c r="L163" s="161">
        <f t="shared" si="84"/>
        <v>236</v>
      </c>
      <c r="M163" s="162">
        <f t="shared" si="84"/>
        <v>2038</v>
      </c>
      <c r="N163" s="192">
        <f t="shared" si="84"/>
        <v>19382</v>
      </c>
      <c r="O163" s="161">
        <f t="shared" si="84"/>
        <v>0</v>
      </c>
      <c r="P163" s="161">
        <f t="shared" si="84"/>
        <v>19382</v>
      </c>
      <c r="Q163" s="33">
        <f t="shared" si="66"/>
        <v>2274</v>
      </c>
      <c r="R163" s="88">
        <f t="shared" si="83"/>
        <v>0.11732535342069962</v>
      </c>
    </row>
    <row r="164" spans="1:18" ht="12.75">
      <c r="A164" s="149"/>
      <c r="B164" s="150" t="s">
        <v>296</v>
      </c>
      <c r="C164" s="151">
        <f>C157+C158+C159+C160+C161+C162</f>
        <v>854</v>
      </c>
      <c r="D164" s="152">
        <f aca="true" t="shared" si="85" ref="D164:P164">D157+D158+D159+D160+D161+D162</f>
        <v>3489</v>
      </c>
      <c r="E164" s="152">
        <f t="shared" si="85"/>
        <v>4343</v>
      </c>
      <c r="F164" s="152">
        <f t="shared" si="85"/>
        <v>556</v>
      </c>
      <c r="G164" s="153">
        <f t="shared" si="85"/>
        <v>3787</v>
      </c>
      <c r="H164" s="151">
        <f t="shared" si="85"/>
        <v>726</v>
      </c>
      <c r="I164" s="152">
        <f t="shared" si="85"/>
        <v>1</v>
      </c>
      <c r="J164" s="153">
        <f t="shared" si="85"/>
        <v>725</v>
      </c>
      <c r="K164" s="151">
        <f t="shared" si="85"/>
        <v>5069</v>
      </c>
      <c r="L164" s="152">
        <f t="shared" si="85"/>
        <v>557</v>
      </c>
      <c r="M164" s="153">
        <f t="shared" si="85"/>
        <v>4512</v>
      </c>
      <c r="N164" s="154">
        <f t="shared" si="85"/>
        <v>42983</v>
      </c>
      <c r="O164" s="152">
        <f t="shared" si="85"/>
        <v>7</v>
      </c>
      <c r="P164" s="152">
        <f t="shared" si="85"/>
        <v>42990</v>
      </c>
      <c r="Q164" s="138">
        <f t="shared" si="66"/>
        <v>5069</v>
      </c>
      <c r="R164" s="156">
        <f>Q164/P164</f>
        <v>0.11791114212607583</v>
      </c>
    </row>
    <row r="165" spans="1:18" ht="12.75">
      <c r="A165" s="36" t="s">
        <v>249</v>
      </c>
      <c r="B165" s="53"/>
      <c r="C165" s="105"/>
      <c r="D165" s="33"/>
      <c r="E165" s="104"/>
      <c r="F165" s="33"/>
      <c r="G165" s="109"/>
      <c r="H165" s="105"/>
      <c r="I165" s="33"/>
      <c r="J165" s="106"/>
      <c r="K165" s="105"/>
      <c r="L165" s="104"/>
      <c r="M165" s="120"/>
      <c r="N165" s="93"/>
      <c r="O165" s="33"/>
      <c r="P165" s="104"/>
      <c r="Q165" s="104"/>
      <c r="R165" s="88"/>
    </row>
    <row r="166" spans="1:18" ht="12.75">
      <c r="A166" s="30" t="s">
        <v>65</v>
      </c>
      <c r="B166" s="38" t="s">
        <v>140</v>
      </c>
      <c r="C166" s="112">
        <v>43</v>
      </c>
      <c r="D166" s="110">
        <v>688</v>
      </c>
      <c r="E166" s="104">
        <f t="shared" si="62"/>
        <v>731</v>
      </c>
      <c r="F166" s="108">
        <v>119</v>
      </c>
      <c r="G166" s="109">
        <f t="shared" si="59"/>
        <v>612</v>
      </c>
      <c r="H166" s="118">
        <v>80</v>
      </c>
      <c r="I166" s="104">
        <v>0</v>
      </c>
      <c r="J166" s="120">
        <f>H166-I166</f>
        <v>80</v>
      </c>
      <c r="K166" s="118">
        <f>E166+H166</f>
        <v>811</v>
      </c>
      <c r="L166" s="104">
        <f t="shared" si="75"/>
        <v>119</v>
      </c>
      <c r="M166" s="120">
        <f t="shared" si="76"/>
        <v>692</v>
      </c>
      <c r="N166" s="119">
        <v>4890</v>
      </c>
      <c r="O166" s="104">
        <v>0</v>
      </c>
      <c r="P166" s="104">
        <f t="shared" si="77"/>
        <v>4890</v>
      </c>
      <c r="Q166" s="104">
        <f t="shared" si="66"/>
        <v>811</v>
      </c>
      <c r="R166" s="86">
        <f>Q166/P166</f>
        <v>0.16584867075664622</v>
      </c>
    </row>
    <row r="167" spans="1:18" ht="12.75">
      <c r="A167" s="157"/>
      <c r="B167" s="150" t="s">
        <v>298</v>
      </c>
      <c r="C167" s="151">
        <f>C166</f>
        <v>43</v>
      </c>
      <c r="D167" s="152">
        <f aca="true" t="shared" si="86" ref="D167:P167">D166</f>
        <v>688</v>
      </c>
      <c r="E167" s="152">
        <f t="shared" si="86"/>
        <v>731</v>
      </c>
      <c r="F167" s="152">
        <f t="shared" si="86"/>
        <v>119</v>
      </c>
      <c r="G167" s="153">
        <f t="shared" si="86"/>
        <v>612</v>
      </c>
      <c r="H167" s="151">
        <f t="shared" si="86"/>
        <v>80</v>
      </c>
      <c r="I167" s="152">
        <f t="shared" si="86"/>
        <v>0</v>
      </c>
      <c r="J167" s="153">
        <f t="shared" si="86"/>
        <v>80</v>
      </c>
      <c r="K167" s="151">
        <f t="shared" si="86"/>
        <v>811</v>
      </c>
      <c r="L167" s="152">
        <f t="shared" si="86"/>
        <v>119</v>
      </c>
      <c r="M167" s="153">
        <f t="shared" si="86"/>
        <v>692</v>
      </c>
      <c r="N167" s="154">
        <f t="shared" si="86"/>
        <v>4890</v>
      </c>
      <c r="O167" s="152">
        <f t="shared" si="86"/>
        <v>0</v>
      </c>
      <c r="P167" s="155">
        <f t="shared" si="86"/>
        <v>4890</v>
      </c>
      <c r="Q167" s="138">
        <f t="shared" si="66"/>
        <v>811</v>
      </c>
      <c r="R167" s="156">
        <f>Q167/P167</f>
        <v>0.16584867075664622</v>
      </c>
    </row>
    <row r="168" spans="1:18" ht="12.75" customHeight="1">
      <c r="A168" s="36" t="s">
        <v>250</v>
      </c>
      <c r="B168" s="53"/>
      <c r="C168" s="105"/>
      <c r="D168" s="33"/>
      <c r="E168" s="104"/>
      <c r="F168" s="33"/>
      <c r="G168" s="109"/>
      <c r="H168" s="105"/>
      <c r="I168" s="33"/>
      <c r="J168" s="106"/>
      <c r="K168" s="105"/>
      <c r="L168" s="104"/>
      <c r="M168" s="120"/>
      <c r="N168" s="93"/>
      <c r="O168" s="33"/>
      <c r="P168" s="104"/>
      <c r="Q168" s="104"/>
      <c r="R168" s="88"/>
    </row>
    <row r="169" spans="1:18" s="97" customFormat="1" ht="12.75">
      <c r="A169" s="30" t="s">
        <v>97</v>
      </c>
      <c r="B169" s="38" t="s">
        <v>141</v>
      </c>
      <c r="C169" s="112">
        <v>33</v>
      </c>
      <c r="D169" s="110">
        <v>420</v>
      </c>
      <c r="E169" s="104">
        <f t="shared" si="62"/>
        <v>453</v>
      </c>
      <c r="F169" s="108">
        <v>46</v>
      </c>
      <c r="G169" s="109">
        <f t="shared" si="59"/>
        <v>407</v>
      </c>
      <c r="H169" s="118">
        <v>86</v>
      </c>
      <c r="I169" s="121">
        <v>0</v>
      </c>
      <c r="J169" s="120">
        <f>H169-I169</f>
        <v>86</v>
      </c>
      <c r="K169" s="118">
        <f>E169+H169</f>
        <v>539</v>
      </c>
      <c r="L169" s="104">
        <f t="shared" si="75"/>
        <v>46</v>
      </c>
      <c r="M169" s="120">
        <v>490</v>
      </c>
      <c r="N169" s="119">
        <v>5250</v>
      </c>
      <c r="O169" s="104">
        <v>0</v>
      </c>
      <c r="P169" s="104">
        <f t="shared" si="77"/>
        <v>5250</v>
      </c>
      <c r="Q169" s="104">
        <f t="shared" si="66"/>
        <v>539</v>
      </c>
      <c r="R169" s="86">
        <f>Q169/P169</f>
        <v>0.10266666666666667</v>
      </c>
    </row>
    <row r="170" spans="1:18" ht="12.75">
      <c r="A170" s="30" t="s">
        <v>98</v>
      </c>
      <c r="B170" s="38" t="s">
        <v>142</v>
      </c>
      <c r="C170" s="112">
        <v>22</v>
      </c>
      <c r="D170" s="110">
        <v>68</v>
      </c>
      <c r="E170" s="104">
        <f t="shared" si="62"/>
        <v>90</v>
      </c>
      <c r="F170" s="108">
        <v>8</v>
      </c>
      <c r="G170" s="109">
        <f t="shared" si="59"/>
        <v>82</v>
      </c>
      <c r="H170" s="118">
        <v>7</v>
      </c>
      <c r="I170" s="104">
        <v>0</v>
      </c>
      <c r="J170" s="120">
        <f>H170-I170</f>
        <v>7</v>
      </c>
      <c r="K170" s="118">
        <f>E170+H170</f>
        <v>97</v>
      </c>
      <c r="L170" s="104">
        <f t="shared" si="75"/>
        <v>8</v>
      </c>
      <c r="M170" s="120">
        <f t="shared" si="76"/>
        <v>89</v>
      </c>
      <c r="N170" s="119">
        <v>548</v>
      </c>
      <c r="O170" s="104">
        <v>0</v>
      </c>
      <c r="P170" s="104">
        <f t="shared" si="77"/>
        <v>548</v>
      </c>
      <c r="Q170" s="104">
        <f t="shared" si="66"/>
        <v>97</v>
      </c>
      <c r="R170" s="86">
        <f>Q170/P170</f>
        <v>0.177007299270073</v>
      </c>
    </row>
    <row r="171" spans="1:18" ht="12.75">
      <c r="A171" s="149"/>
      <c r="B171" s="150" t="s">
        <v>299</v>
      </c>
      <c r="C171" s="151">
        <f>C169+C170</f>
        <v>55</v>
      </c>
      <c r="D171" s="152">
        <f aca="true" t="shared" si="87" ref="D171:P171">D169+D170</f>
        <v>488</v>
      </c>
      <c r="E171" s="152">
        <f t="shared" si="87"/>
        <v>543</v>
      </c>
      <c r="F171" s="152">
        <f t="shared" si="87"/>
        <v>54</v>
      </c>
      <c r="G171" s="153">
        <f t="shared" si="87"/>
        <v>489</v>
      </c>
      <c r="H171" s="151">
        <f t="shared" si="87"/>
        <v>93</v>
      </c>
      <c r="I171" s="152">
        <f t="shared" si="87"/>
        <v>0</v>
      </c>
      <c r="J171" s="153">
        <f t="shared" si="87"/>
        <v>93</v>
      </c>
      <c r="K171" s="151">
        <f t="shared" si="87"/>
        <v>636</v>
      </c>
      <c r="L171" s="152">
        <f t="shared" si="87"/>
        <v>54</v>
      </c>
      <c r="M171" s="153">
        <f t="shared" si="87"/>
        <v>579</v>
      </c>
      <c r="N171" s="154">
        <f t="shared" si="87"/>
        <v>5798</v>
      </c>
      <c r="O171" s="152">
        <f t="shared" si="87"/>
        <v>0</v>
      </c>
      <c r="P171" s="155">
        <f t="shared" si="87"/>
        <v>5798</v>
      </c>
      <c r="Q171" s="138">
        <f t="shared" si="66"/>
        <v>636</v>
      </c>
      <c r="R171" s="156">
        <f>Q171/P171</f>
        <v>0.10969299758537426</v>
      </c>
    </row>
    <row r="172" spans="1:18" ht="12.75" customHeight="1">
      <c r="A172" s="36" t="s">
        <v>300</v>
      </c>
      <c r="B172" s="53"/>
      <c r="C172" s="105"/>
      <c r="D172" s="33"/>
      <c r="E172" s="104"/>
      <c r="F172" s="33"/>
      <c r="G172" s="109"/>
      <c r="H172" s="105"/>
      <c r="I172" s="33"/>
      <c r="J172" s="106"/>
      <c r="K172" s="105"/>
      <c r="L172" s="104"/>
      <c r="M172" s="120"/>
      <c r="N172" s="93"/>
      <c r="O172" s="33"/>
      <c r="P172" s="104"/>
      <c r="Q172" s="104"/>
      <c r="R172" s="88"/>
    </row>
    <row r="173" spans="1:18" ht="12.75">
      <c r="A173" s="30" t="s">
        <v>67</v>
      </c>
      <c r="B173" s="38" t="s">
        <v>146</v>
      </c>
      <c r="C173" s="112">
        <v>127</v>
      </c>
      <c r="D173" s="110">
        <v>1187</v>
      </c>
      <c r="E173" s="104">
        <f t="shared" si="62"/>
        <v>1314</v>
      </c>
      <c r="F173" s="108">
        <v>87</v>
      </c>
      <c r="G173" s="109">
        <f t="shared" si="59"/>
        <v>1227</v>
      </c>
      <c r="H173" s="118">
        <v>225</v>
      </c>
      <c r="I173" s="104">
        <v>0</v>
      </c>
      <c r="J173" s="120">
        <f>H173-I173</f>
        <v>225</v>
      </c>
      <c r="K173" s="118">
        <f>E173+H173</f>
        <v>1539</v>
      </c>
      <c r="L173" s="104">
        <f t="shared" si="75"/>
        <v>87</v>
      </c>
      <c r="M173" s="120">
        <f t="shared" si="76"/>
        <v>1452</v>
      </c>
      <c r="N173" s="119">
        <v>11924</v>
      </c>
      <c r="O173" s="104">
        <v>2</v>
      </c>
      <c r="P173" s="104">
        <f t="shared" si="77"/>
        <v>11926</v>
      </c>
      <c r="Q173" s="104">
        <f t="shared" si="66"/>
        <v>1539</v>
      </c>
      <c r="R173" s="86">
        <f>Q173/P173</f>
        <v>0.1290457823243334</v>
      </c>
    </row>
    <row r="174" spans="1:18" ht="12.75">
      <c r="A174" s="30" t="s">
        <v>68</v>
      </c>
      <c r="B174" s="38" t="s">
        <v>143</v>
      </c>
      <c r="C174" s="112">
        <v>122</v>
      </c>
      <c r="D174" s="110">
        <v>928</v>
      </c>
      <c r="E174" s="104">
        <f t="shared" si="62"/>
        <v>1050</v>
      </c>
      <c r="F174" s="108">
        <v>84</v>
      </c>
      <c r="G174" s="109">
        <f t="shared" si="59"/>
        <v>966</v>
      </c>
      <c r="H174" s="135">
        <v>167</v>
      </c>
      <c r="I174" s="121">
        <v>0</v>
      </c>
      <c r="J174" s="120">
        <f>H174-I174</f>
        <v>167</v>
      </c>
      <c r="K174" s="118">
        <f>E174+H174</f>
        <v>1217</v>
      </c>
      <c r="L174" s="104">
        <f t="shared" si="75"/>
        <v>84</v>
      </c>
      <c r="M174" s="120">
        <f t="shared" si="76"/>
        <v>1133</v>
      </c>
      <c r="N174" s="119">
        <v>12010</v>
      </c>
      <c r="O174" s="104">
        <v>4</v>
      </c>
      <c r="P174" s="104">
        <f t="shared" si="77"/>
        <v>12014</v>
      </c>
      <c r="Q174" s="104">
        <f t="shared" si="66"/>
        <v>1217</v>
      </c>
      <c r="R174" s="86">
        <f>Q174/P174</f>
        <v>0.10129848510071583</v>
      </c>
    </row>
    <row r="175" spans="1:18" ht="12.75">
      <c r="A175" s="149"/>
      <c r="B175" s="150" t="s">
        <v>301</v>
      </c>
      <c r="C175" s="151">
        <f>C174+C173</f>
        <v>249</v>
      </c>
      <c r="D175" s="152">
        <f aca="true" t="shared" si="88" ref="D175:P175">D174+D173</f>
        <v>2115</v>
      </c>
      <c r="E175" s="152">
        <f t="shared" si="88"/>
        <v>2364</v>
      </c>
      <c r="F175" s="152">
        <f t="shared" si="88"/>
        <v>171</v>
      </c>
      <c r="G175" s="153">
        <f t="shared" si="88"/>
        <v>2193</v>
      </c>
      <c r="H175" s="151">
        <f t="shared" si="88"/>
        <v>392</v>
      </c>
      <c r="I175" s="152">
        <f t="shared" si="88"/>
        <v>0</v>
      </c>
      <c r="J175" s="153">
        <f t="shared" si="88"/>
        <v>392</v>
      </c>
      <c r="K175" s="151">
        <f t="shared" si="88"/>
        <v>2756</v>
      </c>
      <c r="L175" s="152">
        <f t="shared" si="88"/>
        <v>171</v>
      </c>
      <c r="M175" s="153">
        <f t="shared" si="88"/>
        <v>2585</v>
      </c>
      <c r="N175" s="154">
        <f t="shared" si="88"/>
        <v>23934</v>
      </c>
      <c r="O175" s="152">
        <f t="shared" si="88"/>
        <v>6</v>
      </c>
      <c r="P175" s="155">
        <f t="shared" si="88"/>
        <v>23940</v>
      </c>
      <c r="Q175" s="138">
        <f t="shared" si="66"/>
        <v>2756</v>
      </c>
      <c r="R175" s="156">
        <f>Q175/P175</f>
        <v>0.11512113617376775</v>
      </c>
    </row>
    <row r="176" spans="1:18" ht="12.75" customHeight="1">
      <c r="A176" s="36" t="s">
        <v>251</v>
      </c>
      <c r="B176" s="53"/>
      <c r="C176" s="105"/>
      <c r="D176" s="33"/>
      <c r="E176" s="104"/>
      <c r="F176" s="33"/>
      <c r="G176" s="109"/>
      <c r="H176" s="105"/>
      <c r="I176" s="33"/>
      <c r="J176" s="106"/>
      <c r="K176" s="105"/>
      <c r="L176" s="104"/>
      <c r="M176" s="120"/>
      <c r="N176" s="93"/>
      <c r="O176" s="33"/>
      <c r="P176" s="104"/>
      <c r="Q176" s="104"/>
      <c r="R176" s="88"/>
    </row>
    <row r="177" spans="1:18" ht="12.75">
      <c r="A177" s="30" t="s">
        <v>69</v>
      </c>
      <c r="B177" s="38" t="s">
        <v>114</v>
      </c>
      <c r="C177" s="112">
        <v>66</v>
      </c>
      <c r="D177" s="110">
        <v>82</v>
      </c>
      <c r="E177" s="104">
        <f t="shared" si="62"/>
        <v>148</v>
      </c>
      <c r="F177" s="108">
        <v>19</v>
      </c>
      <c r="G177" s="109">
        <f t="shared" si="59"/>
        <v>129</v>
      </c>
      <c r="H177" s="135">
        <v>16</v>
      </c>
      <c r="I177" s="104">
        <v>0</v>
      </c>
      <c r="J177" s="120">
        <f>H177-I177</f>
        <v>16</v>
      </c>
      <c r="K177" s="118">
        <f>E177+H177</f>
        <v>164</v>
      </c>
      <c r="L177" s="104">
        <f t="shared" si="75"/>
        <v>19</v>
      </c>
      <c r="M177" s="120">
        <f t="shared" si="76"/>
        <v>145</v>
      </c>
      <c r="N177" s="119">
        <v>973</v>
      </c>
      <c r="O177" s="104">
        <v>0</v>
      </c>
      <c r="P177" s="104">
        <f t="shared" si="77"/>
        <v>973</v>
      </c>
      <c r="Q177" s="104">
        <f t="shared" si="66"/>
        <v>164</v>
      </c>
      <c r="R177" s="86">
        <f aca="true" t="shared" si="89" ref="R177:R182">Q177/P177</f>
        <v>0.1685508735868448</v>
      </c>
    </row>
    <row r="178" spans="1:18" ht="12.75">
      <c r="A178" s="30" t="s">
        <v>70</v>
      </c>
      <c r="B178" s="38" t="s">
        <v>115</v>
      </c>
      <c r="C178" s="112">
        <v>33</v>
      </c>
      <c r="D178" s="110">
        <v>108</v>
      </c>
      <c r="E178" s="104">
        <f t="shared" si="62"/>
        <v>141</v>
      </c>
      <c r="F178" s="108">
        <v>10</v>
      </c>
      <c r="G178" s="109">
        <f t="shared" si="59"/>
        <v>131</v>
      </c>
      <c r="H178" s="135">
        <v>17</v>
      </c>
      <c r="I178" s="104">
        <v>0</v>
      </c>
      <c r="J178" s="120">
        <f>H178-I178</f>
        <v>17</v>
      </c>
      <c r="K178" s="118">
        <f>E178+H178</f>
        <v>158</v>
      </c>
      <c r="L178" s="104">
        <f t="shared" si="75"/>
        <v>10</v>
      </c>
      <c r="M178" s="120">
        <f t="shared" si="76"/>
        <v>148</v>
      </c>
      <c r="N178" s="119">
        <v>1208</v>
      </c>
      <c r="O178" s="104">
        <v>0</v>
      </c>
      <c r="P178" s="104">
        <f t="shared" si="77"/>
        <v>1208</v>
      </c>
      <c r="Q178" s="104">
        <f t="shared" si="66"/>
        <v>158</v>
      </c>
      <c r="R178" s="86">
        <f t="shared" si="89"/>
        <v>0.13079470198675497</v>
      </c>
    </row>
    <row r="179" spans="1:18" ht="12.75">
      <c r="A179" s="30" t="s">
        <v>71</v>
      </c>
      <c r="B179" s="38" t="s">
        <v>116</v>
      </c>
      <c r="C179" s="112">
        <v>210</v>
      </c>
      <c r="D179" s="110">
        <v>587</v>
      </c>
      <c r="E179" s="104">
        <f t="shared" si="62"/>
        <v>797</v>
      </c>
      <c r="F179" s="108">
        <v>51</v>
      </c>
      <c r="G179" s="109">
        <f t="shared" si="59"/>
        <v>746</v>
      </c>
      <c r="H179" s="135">
        <v>71</v>
      </c>
      <c r="I179" s="104">
        <v>0</v>
      </c>
      <c r="J179" s="120">
        <f>H179-I179</f>
        <v>71</v>
      </c>
      <c r="K179" s="118">
        <f>E179+H179</f>
        <v>868</v>
      </c>
      <c r="L179" s="104">
        <f t="shared" si="75"/>
        <v>51</v>
      </c>
      <c r="M179" s="120">
        <f t="shared" si="76"/>
        <v>817</v>
      </c>
      <c r="N179" s="119">
        <v>5108</v>
      </c>
      <c r="O179" s="104">
        <v>2</v>
      </c>
      <c r="P179" s="104">
        <f t="shared" si="77"/>
        <v>5110</v>
      </c>
      <c r="Q179" s="104">
        <f t="shared" si="66"/>
        <v>868</v>
      </c>
      <c r="R179" s="86">
        <f t="shared" si="89"/>
        <v>0.16986301369863013</v>
      </c>
    </row>
    <row r="180" spans="1:18" ht="12.75">
      <c r="A180" s="30" t="s">
        <v>72</v>
      </c>
      <c r="B180" s="38" t="s">
        <v>267</v>
      </c>
      <c r="C180" s="112">
        <v>92</v>
      </c>
      <c r="D180" s="110">
        <v>263</v>
      </c>
      <c r="E180" s="104">
        <f t="shared" si="62"/>
        <v>355</v>
      </c>
      <c r="F180" s="108">
        <v>26</v>
      </c>
      <c r="G180" s="109">
        <f t="shared" si="59"/>
        <v>329</v>
      </c>
      <c r="H180" s="135">
        <v>31</v>
      </c>
      <c r="I180" s="121">
        <v>0</v>
      </c>
      <c r="J180" s="120">
        <f>H180-I180</f>
        <v>31</v>
      </c>
      <c r="K180" s="118">
        <f>E180+H180</f>
        <v>386</v>
      </c>
      <c r="L180" s="104">
        <f t="shared" si="75"/>
        <v>26</v>
      </c>
      <c r="M180" s="120">
        <f t="shared" si="76"/>
        <v>360</v>
      </c>
      <c r="N180" s="113">
        <v>2467</v>
      </c>
      <c r="O180" s="121">
        <v>0</v>
      </c>
      <c r="P180" s="104">
        <f t="shared" si="77"/>
        <v>2467</v>
      </c>
      <c r="Q180" s="104">
        <f t="shared" si="66"/>
        <v>386</v>
      </c>
      <c r="R180" s="86">
        <f t="shared" si="89"/>
        <v>0.15646534252128091</v>
      </c>
    </row>
    <row r="181" spans="1:18" ht="12.75">
      <c r="A181" s="30"/>
      <c r="B181" s="38" t="s">
        <v>268</v>
      </c>
      <c r="C181" s="112">
        <v>102</v>
      </c>
      <c r="D181" s="110">
        <v>216</v>
      </c>
      <c r="E181" s="104">
        <f>C181+D181</f>
        <v>318</v>
      </c>
      <c r="F181" s="108">
        <v>25</v>
      </c>
      <c r="G181" s="109">
        <f aca="true" t="shared" si="90" ref="G181:G223">E181-F181</f>
        <v>293</v>
      </c>
      <c r="H181" s="135">
        <v>37</v>
      </c>
      <c r="I181" s="110">
        <v>0</v>
      </c>
      <c r="J181" s="120">
        <f>H181-I181</f>
        <v>37</v>
      </c>
      <c r="K181" s="118">
        <f>E181+H181</f>
        <v>355</v>
      </c>
      <c r="L181" s="104">
        <f t="shared" si="75"/>
        <v>25</v>
      </c>
      <c r="M181" s="120">
        <f t="shared" si="76"/>
        <v>330</v>
      </c>
      <c r="N181" s="119">
        <v>2457</v>
      </c>
      <c r="O181" s="104">
        <v>1</v>
      </c>
      <c r="P181" s="104">
        <f t="shared" si="77"/>
        <v>2458</v>
      </c>
      <c r="Q181" s="104">
        <f t="shared" si="66"/>
        <v>355</v>
      </c>
      <c r="R181" s="86">
        <f t="shared" si="89"/>
        <v>0.14442636289666397</v>
      </c>
    </row>
    <row r="182" spans="1:18" ht="12.75">
      <c r="A182" s="30"/>
      <c r="B182" s="73" t="s">
        <v>475</v>
      </c>
      <c r="C182" s="160">
        <f>SUM(C180:C181)</f>
        <v>194</v>
      </c>
      <c r="D182" s="161">
        <f aca="true" t="shared" si="91" ref="D182:P182">SUM(D180:D181)</f>
        <v>479</v>
      </c>
      <c r="E182" s="161">
        <f t="shared" si="91"/>
        <v>673</v>
      </c>
      <c r="F182" s="161">
        <f t="shared" si="91"/>
        <v>51</v>
      </c>
      <c r="G182" s="162">
        <f t="shared" si="91"/>
        <v>622</v>
      </c>
      <c r="H182" s="160">
        <f t="shared" si="91"/>
        <v>68</v>
      </c>
      <c r="I182" s="161">
        <f t="shared" si="91"/>
        <v>0</v>
      </c>
      <c r="J182" s="162">
        <f t="shared" si="91"/>
        <v>68</v>
      </c>
      <c r="K182" s="160">
        <f t="shared" si="91"/>
        <v>741</v>
      </c>
      <c r="L182" s="161">
        <f t="shared" si="91"/>
        <v>51</v>
      </c>
      <c r="M182" s="162">
        <f t="shared" si="91"/>
        <v>690</v>
      </c>
      <c r="N182" s="192">
        <f t="shared" si="91"/>
        <v>4924</v>
      </c>
      <c r="O182" s="161">
        <f t="shared" si="91"/>
        <v>1</v>
      </c>
      <c r="P182" s="161">
        <f t="shared" si="91"/>
        <v>4925</v>
      </c>
      <c r="Q182" s="33">
        <f t="shared" si="66"/>
        <v>741</v>
      </c>
      <c r="R182" s="88">
        <f t="shared" si="89"/>
        <v>0.15045685279187818</v>
      </c>
    </row>
    <row r="183" spans="1:18" s="97" customFormat="1" ht="12.75">
      <c r="A183" s="30" t="s">
        <v>73</v>
      </c>
      <c r="B183" s="38" t="s">
        <v>195</v>
      </c>
      <c r="C183" s="112">
        <v>32</v>
      </c>
      <c r="D183" s="110">
        <v>4</v>
      </c>
      <c r="E183" s="104">
        <f t="shared" si="62"/>
        <v>36</v>
      </c>
      <c r="F183" s="108">
        <v>1</v>
      </c>
      <c r="G183" s="109">
        <f t="shared" si="90"/>
        <v>35</v>
      </c>
      <c r="H183" s="135">
        <v>1</v>
      </c>
      <c r="I183" s="121">
        <v>0</v>
      </c>
      <c r="J183" s="120">
        <f>H183-I183</f>
        <v>1</v>
      </c>
      <c r="K183" s="118">
        <v>37</v>
      </c>
      <c r="L183" s="104">
        <v>1</v>
      </c>
      <c r="M183" s="120">
        <f t="shared" si="76"/>
        <v>36</v>
      </c>
      <c r="N183" s="119">
        <v>134</v>
      </c>
      <c r="O183" s="104">
        <v>0</v>
      </c>
      <c r="P183" s="104">
        <f t="shared" si="77"/>
        <v>134</v>
      </c>
      <c r="Q183" s="104">
        <f t="shared" si="66"/>
        <v>37</v>
      </c>
      <c r="R183" s="86">
        <f>Q183/P183</f>
        <v>0.27611940298507465</v>
      </c>
    </row>
    <row r="184" spans="1:18" ht="12.75">
      <c r="A184" s="149"/>
      <c r="B184" s="150" t="s">
        <v>292</v>
      </c>
      <c r="C184" s="151">
        <f>C177+C178+C179+C180+C181+C183</f>
        <v>535</v>
      </c>
      <c r="D184" s="152">
        <f aca="true" t="shared" si="92" ref="D184:P184">D177+D178+D179+D180+D181+D183</f>
        <v>1260</v>
      </c>
      <c r="E184" s="152">
        <f t="shared" si="92"/>
        <v>1795</v>
      </c>
      <c r="F184" s="152">
        <f t="shared" si="92"/>
        <v>132</v>
      </c>
      <c r="G184" s="153">
        <f t="shared" si="92"/>
        <v>1663</v>
      </c>
      <c r="H184" s="151">
        <f t="shared" si="92"/>
        <v>173</v>
      </c>
      <c r="I184" s="152">
        <f t="shared" si="92"/>
        <v>0</v>
      </c>
      <c r="J184" s="153">
        <f t="shared" si="92"/>
        <v>173</v>
      </c>
      <c r="K184" s="151">
        <f t="shared" si="92"/>
        <v>1968</v>
      </c>
      <c r="L184" s="152">
        <f t="shared" si="92"/>
        <v>132</v>
      </c>
      <c r="M184" s="153">
        <f t="shared" si="92"/>
        <v>1836</v>
      </c>
      <c r="N184" s="154">
        <f t="shared" si="92"/>
        <v>12347</v>
      </c>
      <c r="O184" s="152">
        <f t="shared" si="92"/>
        <v>3</v>
      </c>
      <c r="P184" s="155">
        <f t="shared" si="92"/>
        <v>12350</v>
      </c>
      <c r="Q184" s="138">
        <f t="shared" si="66"/>
        <v>1968</v>
      </c>
      <c r="R184" s="156">
        <f>Q184/P184</f>
        <v>0.15935222672064778</v>
      </c>
    </row>
    <row r="185" spans="1:18" ht="12.75" customHeight="1">
      <c r="A185" s="36" t="s">
        <v>252</v>
      </c>
      <c r="B185" s="53"/>
      <c r="C185" s="105"/>
      <c r="D185" s="33"/>
      <c r="E185" s="104"/>
      <c r="F185" s="33"/>
      <c r="G185" s="109"/>
      <c r="H185" s="105"/>
      <c r="I185" s="33">
        <v>0</v>
      </c>
      <c r="J185" s="106"/>
      <c r="K185" s="105"/>
      <c r="L185" s="104"/>
      <c r="M185" s="120"/>
      <c r="N185" s="93"/>
      <c r="O185" s="33"/>
      <c r="P185" s="104"/>
      <c r="Q185" s="104"/>
      <c r="R185" s="88"/>
    </row>
    <row r="186" spans="1:18" ht="12.75">
      <c r="A186" s="30" t="s">
        <v>74</v>
      </c>
      <c r="B186" s="38" t="s">
        <v>269</v>
      </c>
      <c r="C186" s="112">
        <v>371</v>
      </c>
      <c r="D186" s="110">
        <v>902</v>
      </c>
      <c r="E186" s="104">
        <f t="shared" si="62"/>
        <v>1273</v>
      </c>
      <c r="F186" s="108">
        <v>121</v>
      </c>
      <c r="G186" s="109">
        <f t="shared" si="90"/>
        <v>1152</v>
      </c>
      <c r="H186" s="135">
        <v>85</v>
      </c>
      <c r="I186" s="110">
        <v>0</v>
      </c>
      <c r="J186" s="120">
        <f>H186-I186</f>
        <v>85</v>
      </c>
      <c r="K186" s="118">
        <f>E186+H186</f>
        <v>1358</v>
      </c>
      <c r="L186" s="104">
        <f t="shared" si="75"/>
        <v>121</v>
      </c>
      <c r="M186" s="120">
        <v>1323</v>
      </c>
      <c r="N186" s="113">
        <v>5577</v>
      </c>
      <c r="O186" s="121">
        <v>9</v>
      </c>
      <c r="P186" s="104">
        <f t="shared" si="77"/>
        <v>5586</v>
      </c>
      <c r="Q186" s="104">
        <f t="shared" si="66"/>
        <v>1358</v>
      </c>
      <c r="R186" s="86">
        <f>Q186/P186</f>
        <v>0.24310776942355888</v>
      </c>
    </row>
    <row r="187" spans="1:18" ht="12.75">
      <c r="A187" s="30"/>
      <c r="B187" s="38" t="s">
        <v>270</v>
      </c>
      <c r="C187" s="112">
        <v>923</v>
      </c>
      <c r="D187" s="110">
        <v>835</v>
      </c>
      <c r="E187" s="104">
        <f aca="true" t="shared" si="93" ref="E187:E223">SUM(C187:D187)</f>
        <v>1758</v>
      </c>
      <c r="F187" s="108">
        <v>141</v>
      </c>
      <c r="G187" s="109">
        <f t="shared" si="90"/>
        <v>1617</v>
      </c>
      <c r="H187" s="135">
        <v>79</v>
      </c>
      <c r="I187" s="110">
        <v>0</v>
      </c>
      <c r="J187" s="120">
        <f>H187-I187</f>
        <v>79</v>
      </c>
      <c r="K187" s="118">
        <v>1437</v>
      </c>
      <c r="L187" s="104">
        <f t="shared" si="75"/>
        <v>141</v>
      </c>
      <c r="M187" s="120">
        <v>1196</v>
      </c>
      <c r="N187" s="119">
        <v>5577</v>
      </c>
      <c r="O187" s="104">
        <v>3</v>
      </c>
      <c r="P187" s="104">
        <f t="shared" si="77"/>
        <v>5580</v>
      </c>
      <c r="Q187" s="104">
        <f t="shared" si="66"/>
        <v>1437</v>
      </c>
      <c r="R187" s="86">
        <f aca="true" t="shared" si="94" ref="R187:R194">Q187/P187</f>
        <v>0.2575268817204301</v>
      </c>
    </row>
    <row r="188" spans="1:18" ht="12.75">
      <c r="A188" s="30"/>
      <c r="B188" s="73" t="s">
        <v>476</v>
      </c>
      <c r="C188" s="160">
        <f aca="true" t="shared" si="95" ref="C188:O188">SUM(C186:C187)</f>
        <v>1294</v>
      </c>
      <c r="D188" s="161">
        <f t="shared" si="95"/>
        <v>1737</v>
      </c>
      <c r="E188" s="161">
        <f t="shared" si="95"/>
        <v>3031</v>
      </c>
      <c r="F188" s="161">
        <f t="shared" si="95"/>
        <v>262</v>
      </c>
      <c r="G188" s="162">
        <f t="shared" si="95"/>
        <v>2769</v>
      </c>
      <c r="H188" s="160">
        <f t="shared" si="95"/>
        <v>164</v>
      </c>
      <c r="I188" s="161">
        <f t="shared" si="95"/>
        <v>0</v>
      </c>
      <c r="J188" s="162">
        <f t="shared" si="95"/>
        <v>164</v>
      </c>
      <c r="K188" s="160">
        <f t="shared" si="95"/>
        <v>2795</v>
      </c>
      <c r="L188" s="161">
        <f t="shared" si="95"/>
        <v>262</v>
      </c>
      <c r="M188" s="162">
        <f t="shared" si="95"/>
        <v>2519</v>
      </c>
      <c r="N188" s="192">
        <f t="shared" si="95"/>
        <v>11154</v>
      </c>
      <c r="O188" s="161">
        <f t="shared" si="95"/>
        <v>12</v>
      </c>
      <c r="P188" s="33">
        <f t="shared" si="77"/>
        <v>11166</v>
      </c>
      <c r="Q188" s="33">
        <f t="shared" si="66"/>
        <v>2795</v>
      </c>
      <c r="R188" s="88">
        <f t="shared" si="94"/>
        <v>0.25031345154934626</v>
      </c>
    </row>
    <row r="189" spans="1:18" ht="12.75">
      <c r="A189" s="30" t="s">
        <v>75</v>
      </c>
      <c r="B189" s="38" t="s">
        <v>175</v>
      </c>
      <c r="C189" s="112">
        <v>155</v>
      </c>
      <c r="D189" s="110">
        <v>151</v>
      </c>
      <c r="E189" s="110">
        <f>SUM(C189:D189)</f>
        <v>306</v>
      </c>
      <c r="F189" s="108">
        <v>17</v>
      </c>
      <c r="G189" s="109">
        <f t="shared" si="90"/>
        <v>289</v>
      </c>
      <c r="H189" s="135">
        <v>7</v>
      </c>
      <c r="I189" s="104">
        <v>0</v>
      </c>
      <c r="J189" s="120">
        <f>H189-I189</f>
        <v>7</v>
      </c>
      <c r="K189" s="118">
        <f>E189+H189</f>
        <v>313</v>
      </c>
      <c r="L189" s="104">
        <f t="shared" si="75"/>
        <v>17</v>
      </c>
      <c r="M189" s="120">
        <f t="shared" si="76"/>
        <v>296</v>
      </c>
      <c r="N189" s="119">
        <v>860</v>
      </c>
      <c r="O189" s="33">
        <v>1</v>
      </c>
      <c r="P189" s="104">
        <f t="shared" si="77"/>
        <v>861</v>
      </c>
      <c r="Q189" s="104">
        <f t="shared" si="66"/>
        <v>313</v>
      </c>
      <c r="R189" s="86">
        <f t="shared" si="94"/>
        <v>0.3635307781649245</v>
      </c>
    </row>
    <row r="190" spans="1:18" ht="12.75">
      <c r="A190" s="30" t="s">
        <v>76</v>
      </c>
      <c r="B190" s="38" t="s">
        <v>191</v>
      </c>
      <c r="C190" s="112">
        <v>285</v>
      </c>
      <c r="D190" s="110">
        <v>293</v>
      </c>
      <c r="E190" s="104">
        <f t="shared" si="93"/>
        <v>578</v>
      </c>
      <c r="F190" s="108">
        <v>23</v>
      </c>
      <c r="G190" s="109">
        <f t="shared" si="90"/>
        <v>555</v>
      </c>
      <c r="H190" s="135">
        <v>32</v>
      </c>
      <c r="I190" s="104">
        <v>0</v>
      </c>
      <c r="J190" s="120">
        <f>H190-I190</f>
        <v>32</v>
      </c>
      <c r="K190" s="118">
        <f>E190+H190</f>
        <v>610</v>
      </c>
      <c r="L190" s="104">
        <f t="shared" si="75"/>
        <v>23</v>
      </c>
      <c r="M190" s="120">
        <f t="shared" si="76"/>
        <v>587</v>
      </c>
      <c r="N190" s="119">
        <v>1914</v>
      </c>
      <c r="O190" s="104">
        <v>2</v>
      </c>
      <c r="P190" s="104">
        <f t="shared" si="77"/>
        <v>1916</v>
      </c>
      <c r="Q190" s="104">
        <f t="shared" si="66"/>
        <v>610</v>
      </c>
      <c r="R190" s="86">
        <f t="shared" si="94"/>
        <v>0.31837160751565763</v>
      </c>
    </row>
    <row r="191" spans="1:18" ht="12.75">
      <c r="A191" s="30" t="s">
        <v>77</v>
      </c>
      <c r="B191" s="38" t="s">
        <v>271</v>
      </c>
      <c r="C191" s="112">
        <v>222</v>
      </c>
      <c r="D191" s="110">
        <v>304</v>
      </c>
      <c r="E191" s="104">
        <f t="shared" si="93"/>
        <v>526</v>
      </c>
      <c r="F191" s="108">
        <v>69</v>
      </c>
      <c r="G191" s="109">
        <f t="shared" si="90"/>
        <v>457</v>
      </c>
      <c r="H191" s="135">
        <v>29</v>
      </c>
      <c r="I191" s="104">
        <v>0</v>
      </c>
      <c r="J191" s="120">
        <f>H191-I191</f>
        <v>29</v>
      </c>
      <c r="K191" s="118">
        <f>E191+H191</f>
        <v>555</v>
      </c>
      <c r="L191" s="104">
        <f t="shared" si="75"/>
        <v>69</v>
      </c>
      <c r="M191" s="120">
        <f t="shared" si="76"/>
        <v>486</v>
      </c>
      <c r="N191" s="113">
        <v>2563</v>
      </c>
      <c r="O191" s="121">
        <v>0</v>
      </c>
      <c r="P191" s="104">
        <f t="shared" si="77"/>
        <v>2563</v>
      </c>
      <c r="Q191" s="104">
        <f aca="true" t="shared" si="96" ref="Q191:Q224">K191</f>
        <v>555</v>
      </c>
      <c r="R191" s="86">
        <f t="shared" si="94"/>
        <v>0.2165431135388217</v>
      </c>
    </row>
    <row r="192" spans="1:18" ht="12.75">
      <c r="A192" s="30"/>
      <c r="B192" s="38" t="s">
        <v>272</v>
      </c>
      <c r="C192" s="112">
        <v>242</v>
      </c>
      <c r="D192" s="110">
        <v>273</v>
      </c>
      <c r="E192" s="104">
        <f t="shared" si="93"/>
        <v>515</v>
      </c>
      <c r="F192" s="108">
        <v>17</v>
      </c>
      <c r="G192" s="109">
        <f t="shared" si="90"/>
        <v>498</v>
      </c>
      <c r="H192" s="135">
        <v>30</v>
      </c>
      <c r="I192" s="104">
        <v>0</v>
      </c>
      <c r="J192" s="120">
        <f>H192-I192</f>
        <v>30</v>
      </c>
      <c r="K192" s="118">
        <f>E192+H192</f>
        <v>545</v>
      </c>
      <c r="L192" s="104">
        <f t="shared" si="75"/>
        <v>17</v>
      </c>
      <c r="M192" s="120">
        <f t="shared" si="76"/>
        <v>528</v>
      </c>
      <c r="N192" s="119">
        <v>2603</v>
      </c>
      <c r="O192" s="104">
        <v>-1</v>
      </c>
      <c r="P192" s="104">
        <f t="shared" si="77"/>
        <v>2602</v>
      </c>
      <c r="Q192" s="104">
        <f t="shared" si="96"/>
        <v>545</v>
      </c>
      <c r="R192" s="86">
        <f t="shared" si="94"/>
        <v>0.2094542659492698</v>
      </c>
    </row>
    <row r="193" spans="1:18" ht="12.75">
      <c r="A193" s="30"/>
      <c r="B193" s="38" t="s">
        <v>273</v>
      </c>
      <c r="C193" s="112">
        <v>224</v>
      </c>
      <c r="D193" s="110">
        <v>274</v>
      </c>
      <c r="E193" s="104">
        <f t="shared" si="93"/>
        <v>498</v>
      </c>
      <c r="F193" s="108">
        <v>30</v>
      </c>
      <c r="G193" s="109">
        <f t="shared" si="90"/>
        <v>468</v>
      </c>
      <c r="H193" s="135">
        <v>29</v>
      </c>
      <c r="I193" s="104">
        <v>0</v>
      </c>
      <c r="J193" s="120">
        <f>H193-I193</f>
        <v>29</v>
      </c>
      <c r="K193" s="118">
        <f>E193+H193</f>
        <v>527</v>
      </c>
      <c r="L193" s="104">
        <f t="shared" si="75"/>
        <v>30</v>
      </c>
      <c r="M193" s="120">
        <f t="shared" si="76"/>
        <v>497</v>
      </c>
      <c r="N193" s="119">
        <v>2568</v>
      </c>
      <c r="O193" s="104">
        <v>0</v>
      </c>
      <c r="P193" s="104">
        <f t="shared" si="77"/>
        <v>2568</v>
      </c>
      <c r="Q193" s="104">
        <f t="shared" si="96"/>
        <v>527</v>
      </c>
      <c r="R193" s="86">
        <f t="shared" si="94"/>
        <v>0.20521806853582555</v>
      </c>
    </row>
    <row r="194" spans="1:18" ht="12.75">
      <c r="A194" s="30"/>
      <c r="B194" s="73" t="s">
        <v>477</v>
      </c>
      <c r="C194" s="110">
        <f aca="true" t="shared" si="97" ref="C194:O194">SUM(C191:C193)</f>
        <v>688</v>
      </c>
      <c r="D194" s="110">
        <f t="shared" si="97"/>
        <v>851</v>
      </c>
      <c r="E194" s="110">
        <f t="shared" si="97"/>
        <v>1539</v>
      </c>
      <c r="F194" s="110">
        <f t="shared" si="97"/>
        <v>116</v>
      </c>
      <c r="G194" s="161">
        <f t="shared" si="97"/>
        <v>1423</v>
      </c>
      <c r="H194" s="110">
        <f t="shared" si="97"/>
        <v>88</v>
      </c>
      <c r="I194" s="110">
        <f t="shared" si="97"/>
        <v>0</v>
      </c>
      <c r="J194" s="110">
        <f t="shared" si="97"/>
        <v>88</v>
      </c>
      <c r="K194" s="110">
        <f t="shared" si="97"/>
        <v>1627</v>
      </c>
      <c r="L194" s="110">
        <f t="shared" si="97"/>
        <v>116</v>
      </c>
      <c r="M194" s="110">
        <f t="shared" si="97"/>
        <v>1511</v>
      </c>
      <c r="N194" s="110">
        <f t="shared" si="97"/>
        <v>7734</v>
      </c>
      <c r="O194" s="110">
        <f t="shared" si="97"/>
        <v>-1</v>
      </c>
      <c r="P194" s="104">
        <f t="shared" si="77"/>
        <v>7733</v>
      </c>
      <c r="Q194" s="104">
        <f t="shared" si="96"/>
        <v>1627</v>
      </c>
      <c r="R194" s="86">
        <f t="shared" si="94"/>
        <v>0.21039699987068408</v>
      </c>
    </row>
    <row r="195" spans="1:18" ht="12.75">
      <c r="A195" s="149"/>
      <c r="B195" s="150" t="s">
        <v>292</v>
      </c>
      <c r="C195" s="151">
        <f>C186+C187+C189+C190+C191+C192+C193</f>
        <v>2422</v>
      </c>
      <c r="D195" s="152">
        <f aca="true" t="shared" si="98" ref="D195:P195">D186+D187+D189+D190+D191+D192+D193</f>
        <v>3032</v>
      </c>
      <c r="E195" s="152">
        <f t="shared" si="98"/>
        <v>5454</v>
      </c>
      <c r="F195" s="152">
        <f t="shared" si="98"/>
        <v>418</v>
      </c>
      <c r="G195" s="153">
        <f t="shared" si="98"/>
        <v>5036</v>
      </c>
      <c r="H195" s="151">
        <f t="shared" si="98"/>
        <v>291</v>
      </c>
      <c r="I195" s="152">
        <f t="shared" si="98"/>
        <v>0</v>
      </c>
      <c r="J195" s="153">
        <f t="shared" si="98"/>
        <v>291</v>
      </c>
      <c r="K195" s="151">
        <f t="shared" si="98"/>
        <v>5345</v>
      </c>
      <c r="L195" s="152">
        <f t="shared" si="98"/>
        <v>418</v>
      </c>
      <c r="M195" s="153">
        <f t="shared" si="98"/>
        <v>4913</v>
      </c>
      <c r="N195" s="154">
        <f t="shared" si="98"/>
        <v>21662</v>
      </c>
      <c r="O195" s="152">
        <f t="shared" si="98"/>
        <v>14</v>
      </c>
      <c r="P195" s="155">
        <f t="shared" si="98"/>
        <v>21676</v>
      </c>
      <c r="Q195" s="138">
        <f t="shared" si="96"/>
        <v>5345</v>
      </c>
      <c r="R195" s="156">
        <f>Q195/P195</f>
        <v>0.24658608599372578</v>
      </c>
    </row>
    <row r="196" spans="1:18" ht="12.75">
      <c r="A196" s="36" t="s">
        <v>253</v>
      </c>
      <c r="B196" s="53"/>
      <c r="C196" s="105"/>
      <c r="D196" s="102"/>
      <c r="E196" s="103"/>
      <c r="F196" s="102"/>
      <c r="G196" s="127"/>
      <c r="H196" s="105"/>
      <c r="I196" s="33"/>
      <c r="J196" s="106"/>
      <c r="K196" s="105"/>
      <c r="L196" s="104"/>
      <c r="M196" s="120"/>
      <c r="N196" s="93"/>
      <c r="O196" s="33"/>
      <c r="P196" s="104"/>
      <c r="Q196" s="104"/>
      <c r="R196" s="88"/>
    </row>
    <row r="197" spans="1:18" s="97" customFormat="1" ht="12.75">
      <c r="A197" s="30" t="s">
        <v>78</v>
      </c>
      <c r="B197" s="38" t="s">
        <v>192</v>
      </c>
      <c r="C197" s="112">
        <v>297</v>
      </c>
      <c r="D197" s="110">
        <v>350</v>
      </c>
      <c r="E197" s="104">
        <f t="shared" si="93"/>
        <v>647</v>
      </c>
      <c r="F197" s="108">
        <v>23</v>
      </c>
      <c r="G197" s="109">
        <f t="shared" si="90"/>
        <v>624</v>
      </c>
      <c r="H197" s="135">
        <v>74</v>
      </c>
      <c r="I197" s="104">
        <v>0</v>
      </c>
      <c r="J197" s="120">
        <f>H197-I197</f>
        <v>74</v>
      </c>
      <c r="K197" s="118">
        <f>E197+H197</f>
        <v>721</v>
      </c>
      <c r="L197" s="104">
        <f t="shared" si="75"/>
        <v>23</v>
      </c>
      <c r="M197" s="120">
        <f t="shared" si="76"/>
        <v>698</v>
      </c>
      <c r="N197" s="119">
        <v>4246</v>
      </c>
      <c r="O197" s="104">
        <v>0</v>
      </c>
      <c r="P197" s="104">
        <f t="shared" si="77"/>
        <v>4246</v>
      </c>
      <c r="Q197" s="104">
        <f t="shared" si="96"/>
        <v>721</v>
      </c>
      <c r="R197" s="86">
        <f aca="true" t="shared" si="99" ref="R197:R202">Q197/P197</f>
        <v>0.16980687706076308</v>
      </c>
    </row>
    <row r="198" spans="1:18" ht="12.75">
      <c r="A198" s="30" t="s">
        <v>79</v>
      </c>
      <c r="B198" s="38" t="s">
        <v>128</v>
      </c>
      <c r="C198" s="112">
        <v>270</v>
      </c>
      <c r="D198" s="110">
        <v>295</v>
      </c>
      <c r="E198" s="104">
        <f t="shared" si="93"/>
        <v>565</v>
      </c>
      <c r="F198" s="108">
        <v>41</v>
      </c>
      <c r="G198" s="109">
        <f t="shared" si="90"/>
        <v>524</v>
      </c>
      <c r="H198" s="135">
        <v>67</v>
      </c>
      <c r="I198" s="104">
        <v>0</v>
      </c>
      <c r="J198" s="120">
        <f>H198-I198</f>
        <v>67</v>
      </c>
      <c r="K198" s="118">
        <f>E198+H198</f>
        <v>632</v>
      </c>
      <c r="L198" s="104">
        <f t="shared" si="75"/>
        <v>41</v>
      </c>
      <c r="M198" s="120">
        <f t="shared" si="76"/>
        <v>591</v>
      </c>
      <c r="N198" s="119">
        <v>2494</v>
      </c>
      <c r="O198" s="104">
        <v>5</v>
      </c>
      <c r="P198" s="104">
        <f t="shared" si="77"/>
        <v>2499</v>
      </c>
      <c r="Q198" s="104">
        <f t="shared" si="96"/>
        <v>632</v>
      </c>
      <c r="R198" s="86">
        <f t="shared" si="99"/>
        <v>0.25290116046418565</v>
      </c>
    </row>
    <row r="199" spans="1:18" ht="12.75">
      <c r="A199" s="30" t="s">
        <v>80</v>
      </c>
      <c r="B199" s="38" t="s">
        <v>137</v>
      </c>
      <c r="C199" s="112">
        <v>129</v>
      </c>
      <c r="D199" s="110">
        <v>98</v>
      </c>
      <c r="E199" s="104">
        <f t="shared" si="93"/>
        <v>227</v>
      </c>
      <c r="F199" s="108">
        <v>15</v>
      </c>
      <c r="G199" s="109">
        <f t="shared" si="90"/>
        <v>212</v>
      </c>
      <c r="H199" s="135">
        <v>31</v>
      </c>
      <c r="I199" s="104">
        <v>0</v>
      </c>
      <c r="J199" s="120">
        <f>H199-I199</f>
        <v>31</v>
      </c>
      <c r="K199" s="118">
        <f>E199+H199</f>
        <v>258</v>
      </c>
      <c r="L199" s="104">
        <f t="shared" si="75"/>
        <v>15</v>
      </c>
      <c r="M199" s="120">
        <f t="shared" si="76"/>
        <v>243</v>
      </c>
      <c r="N199" s="119">
        <v>1181</v>
      </c>
      <c r="O199" s="104">
        <v>0</v>
      </c>
      <c r="P199" s="104">
        <f t="shared" si="77"/>
        <v>1181</v>
      </c>
      <c r="Q199" s="104">
        <f t="shared" si="96"/>
        <v>258</v>
      </c>
      <c r="R199" s="86">
        <f t="shared" si="99"/>
        <v>0.21845893310753597</v>
      </c>
    </row>
    <row r="200" spans="1:18" ht="12.75">
      <c r="A200" s="30" t="s">
        <v>81</v>
      </c>
      <c r="B200" s="38" t="s">
        <v>176</v>
      </c>
      <c r="C200" s="112">
        <v>196</v>
      </c>
      <c r="D200" s="110">
        <v>169</v>
      </c>
      <c r="E200" s="104">
        <f t="shared" si="93"/>
        <v>365</v>
      </c>
      <c r="F200" s="108">
        <v>29</v>
      </c>
      <c r="G200" s="109">
        <f t="shared" si="90"/>
        <v>336</v>
      </c>
      <c r="H200" s="135">
        <v>33</v>
      </c>
      <c r="I200" s="104">
        <v>0</v>
      </c>
      <c r="J200" s="120">
        <f>H200-I200</f>
        <v>33</v>
      </c>
      <c r="K200" s="118">
        <f>E200+H200</f>
        <v>398</v>
      </c>
      <c r="L200" s="104">
        <f t="shared" si="75"/>
        <v>29</v>
      </c>
      <c r="M200" s="120">
        <f t="shared" si="76"/>
        <v>369</v>
      </c>
      <c r="N200" s="119">
        <v>2220</v>
      </c>
      <c r="O200" s="104">
        <v>0</v>
      </c>
      <c r="P200" s="104">
        <f t="shared" si="77"/>
        <v>2220</v>
      </c>
      <c r="Q200" s="104">
        <f t="shared" si="96"/>
        <v>398</v>
      </c>
      <c r="R200" s="86">
        <f t="shared" si="99"/>
        <v>0.17927927927927928</v>
      </c>
    </row>
    <row r="201" spans="1:18" ht="12.75">
      <c r="A201" s="30" t="s">
        <v>102</v>
      </c>
      <c r="B201" s="38" t="s">
        <v>112</v>
      </c>
      <c r="C201" s="112">
        <v>79</v>
      </c>
      <c r="D201" s="110">
        <v>77</v>
      </c>
      <c r="E201" s="104">
        <f t="shared" si="93"/>
        <v>156</v>
      </c>
      <c r="F201" s="108">
        <v>10</v>
      </c>
      <c r="G201" s="109">
        <f t="shared" si="90"/>
        <v>146</v>
      </c>
      <c r="H201" s="135">
        <v>21</v>
      </c>
      <c r="I201" s="104">
        <v>0</v>
      </c>
      <c r="J201" s="120">
        <f>H201-I201</f>
        <v>21</v>
      </c>
      <c r="K201" s="118">
        <f>E201+H201</f>
        <v>177</v>
      </c>
      <c r="L201" s="104">
        <f t="shared" si="75"/>
        <v>10</v>
      </c>
      <c r="M201" s="120">
        <f t="shared" si="76"/>
        <v>167</v>
      </c>
      <c r="N201" s="119">
        <v>712</v>
      </c>
      <c r="O201" s="104">
        <v>0</v>
      </c>
      <c r="P201" s="104">
        <f t="shared" si="77"/>
        <v>712</v>
      </c>
      <c r="Q201" s="104">
        <f t="shared" si="96"/>
        <v>177</v>
      </c>
      <c r="R201" s="86">
        <f t="shared" si="99"/>
        <v>0.24859550561797752</v>
      </c>
    </row>
    <row r="202" spans="1:18" ht="12.75">
      <c r="A202" s="149"/>
      <c r="B202" s="150" t="s">
        <v>292</v>
      </c>
      <c r="C202" s="151">
        <f>C197+C198+C199+C200+C201</f>
        <v>971</v>
      </c>
      <c r="D202" s="152">
        <f aca="true" t="shared" si="100" ref="D202:P202">D197+D198+D199+D200+D201</f>
        <v>989</v>
      </c>
      <c r="E202" s="152">
        <f t="shared" si="100"/>
        <v>1960</v>
      </c>
      <c r="F202" s="152">
        <f t="shared" si="100"/>
        <v>118</v>
      </c>
      <c r="G202" s="153">
        <f t="shared" si="100"/>
        <v>1842</v>
      </c>
      <c r="H202" s="151">
        <f t="shared" si="100"/>
        <v>226</v>
      </c>
      <c r="I202" s="152">
        <f t="shared" si="100"/>
        <v>0</v>
      </c>
      <c r="J202" s="153">
        <f t="shared" si="100"/>
        <v>226</v>
      </c>
      <c r="K202" s="151">
        <f t="shared" si="100"/>
        <v>2186</v>
      </c>
      <c r="L202" s="152">
        <f t="shared" si="100"/>
        <v>118</v>
      </c>
      <c r="M202" s="153">
        <f t="shared" si="100"/>
        <v>2068</v>
      </c>
      <c r="N202" s="154">
        <f t="shared" si="100"/>
        <v>10853</v>
      </c>
      <c r="O202" s="152">
        <f t="shared" si="100"/>
        <v>5</v>
      </c>
      <c r="P202" s="155">
        <f t="shared" si="100"/>
        <v>10858</v>
      </c>
      <c r="Q202" s="138">
        <f t="shared" si="96"/>
        <v>2186</v>
      </c>
      <c r="R202" s="156">
        <f t="shared" si="99"/>
        <v>0.20132621108859827</v>
      </c>
    </row>
    <row r="203" spans="1:18" ht="12.75" customHeight="1">
      <c r="A203" s="36" t="s">
        <v>254</v>
      </c>
      <c r="B203" s="53"/>
      <c r="C203" s="105"/>
      <c r="D203" s="33"/>
      <c r="E203" s="104"/>
      <c r="F203" s="33"/>
      <c r="G203" s="109"/>
      <c r="H203" s="105"/>
      <c r="I203" s="33"/>
      <c r="J203" s="106"/>
      <c r="K203" s="105"/>
      <c r="L203" s="104"/>
      <c r="M203" s="120"/>
      <c r="N203" s="93"/>
      <c r="O203" s="33"/>
      <c r="P203" s="104"/>
      <c r="Q203" s="104"/>
      <c r="R203" s="88"/>
    </row>
    <row r="204" spans="1:18" ht="12.75">
      <c r="A204" s="30" t="s">
        <v>82</v>
      </c>
      <c r="B204" s="38" t="s">
        <v>274</v>
      </c>
      <c r="C204" s="112">
        <v>221</v>
      </c>
      <c r="D204" s="110">
        <v>372</v>
      </c>
      <c r="E204" s="104">
        <f t="shared" si="93"/>
        <v>593</v>
      </c>
      <c r="F204" s="108">
        <v>84</v>
      </c>
      <c r="G204" s="109">
        <f t="shared" si="90"/>
        <v>509</v>
      </c>
      <c r="H204" s="135">
        <v>71</v>
      </c>
      <c r="I204" s="104">
        <v>0</v>
      </c>
      <c r="J204" s="120">
        <f aca="true" t="shared" si="101" ref="J204:J214">H204-I204</f>
        <v>71</v>
      </c>
      <c r="K204" s="118">
        <f>E204+H204</f>
        <v>664</v>
      </c>
      <c r="L204" s="104">
        <f t="shared" si="75"/>
        <v>84</v>
      </c>
      <c r="M204" s="120">
        <f t="shared" si="76"/>
        <v>580</v>
      </c>
      <c r="N204" s="113">
        <v>3051</v>
      </c>
      <c r="O204" s="121">
        <v>0</v>
      </c>
      <c r="P204" s="104">
        <f>SUM(N204:O204)</f>
        <v>3051</v>
      </c>
      <c r="Q204" s="104">
        <f t="shared" si="96"/>
        <v>664</v>
      </c>
      <c r="R204" s="86">
        <f>Q204/P204</f>
        <v>0.21763356276630613</v>
      </c>
    </row>
    <row r="205" spans="1:18" ht="12.75">
      <c r="A205" s="30"/>
      <c r="B205" s="38" t="s">
        <v>275</v>
      </c>
      <c r="C205" s="112">
        <v>143</v>
      </c>
      <c r="D205" s="110">
        <v>492</v>
      </c>
      <c r="E205" s="104">
        <f t="shared" si="93"/>
        <v>635</v>
      </c>
      <c r="F205" s="108">
        <v>83</v>
      </c>
      <c r="G205" s="109">
        <f t="shared" si="90"/>
        <v>552</v>
      </c>
      <c r="H205" s="135">
        <v>94</v>
      </c>
      <c r="I205" s="104">
        <v>0</v>
      </c>
      <c r="J205" s="120">
        <f t="shared" si="101"/>
        <v>94</v>
      </c>
      <c r="K205" s="118">
        <f aca="true" t="shared" si="102" ref="K205:K214">E205+H205</f>
        <v>729</v>
      </c>
      <c r="L205" s="104">
        <f t="shared" si="75"/>
        <v>83</v>
      </c>
      <c r="M205" s="120">
        <f t="shared" si="76"/>
        <v>646</v>
      </c>
      <c r="N205" s="119">
        <v>3139</v>
      </c>
      <c r="O205" s="104">
        <v>0</v>
      </c>
      <c r="P205" s="104">
        <f aca="true" t="shared" si="103" ref="P205:P214">SUM(N205:O205)</f>
        <v>3139</v>
      </c>
      <c r="Q205" s="104">
        <f t="shared" si="96"/>
        <v>729</v>
      </c>
      <c r="R205" s="86">
        <f aca="true" t="shared" si="104" ref="R205:R214">Q205/P205</f>
        <v>0.23223956674100033</v>
      </c>
    </row>
    <row r="206" spans="1:18" ht="12.75">
      <c r="A206" s="30"/>
      <c r="B206" s="38" t="s">
        <v>276</v>
      </c>
      <c r="C206" s="112">
        <v>157</v>
      </c>
      <c r="D206" s="110">
        <v>481</v>
      </c>
      <c r="E206" s="104">
        <f t="shared" si="93"/>
        <v>638</v>
      </c>
      <c r="F206" s="108">
        <v>117</v>
      </c>
      <c r="G206" s="109">
        <f t="shared" si="90"/>
        <v>521</v>
      </c>
      <c r="H206" s="135">
        <v>117</v>
      </c>
      <c r="I206" s="104">
        <v>0</v>
      </c>
      <c r="J206" s="120">
        <f t="shared" si="101"/>
        <v>117</v>
      </c>
      <c r="K206" s="118">
        <f t="shared" si="102"/>
        <v>755</v>
      </c>
      <c r="L206" s="104">
        <f t="shared" si="75"/>
        <v>117</v>
      </c>
      <c r="M206" s="120">
        <f t="shared" si="76"/>
        <v>638</v>
      </c>
      <c r="N206" s="119">
        <v>3095</v>
      </c>
      <c r="O206" s="104">
        <v>0</v>
      </c>
      <c r="P206" s="104">
        <f t="shared" si="103"/>
        <v>3095</v>
      </c>
      <c r="Q206" s="104">
        <f t="shared" si="96"/>
        <v>755</v>
      </c>
      <c r="R206" s="86">
        <f t="shared" si="104"/>
        <v>0.24394184168012925</v>
      </c>
    </row>
    <row r="207" spans="1:18" ht="12.75">
      <c r="A207" s="30"/>
      <c r="B207" s="38" t="s">
        <v>277</v>
      </c>
      <c r="C207" s="112">
        <v>192</v>
      </c>
      <c r="D207" s="110">
        <v>408</v>
      </c>
      <c r="E207" s="104">
        <f t="shared" si="93"/>
        <v>600</v>
      </c>
      <c r="F207" s="108">
        <v>39</v>
      </c>
      <c r="G207" s="109">
        <f t="shared" si="90"/>
        <v>561</v>
      </c>
      <c r="H207" s="135">
        <v>101</v>
      </c>
      <c r="I207" s="104">
        <v>0</v>
      </c>
      <c r="J207" s="120">
        <f t="shared" si="101"/>
        <v>101</v>
      </c>
      <c r="K207" s="118">
        <f t="shared" si="102"/>
        <v>701</v>
      </c>
      <c r="L207" s="104">
        <f t="shared" si="75"/>
        <v>39</v>
      </c>
      <c r="M207" s="120">
        <f t="shared" si="76"/>
        <v>662</v>
      </c>
      <c r="N207" s="119">
        <v>3277</v>
      </c>
      <c r="O207" s="104">
        <v>2</v>
      </c>
      <c r="P207" s="104">
        <f t="shared" si="103"/>
        <v>3279</v>
      </c>
      <c r="Q207" s="104">
        <f t="shared" si="96"/>
        <v>701</v>
      </c>
      <c r="R207" s="86">
        <f t="shared" si="104"/>
        <v>0.21378469045440684</v>
      </c>
    </row>
    <row r="208" spans="1:18" ht="12.75">
      <c r="A208" s="30"/>
      <c r="B208" s="73" t="s">
        <v>478</v>
      </c>
      <c r="C208" s="160">
        <f>SUM(C204:C207)</f>
        <v>713</v>
      </c>
      <c r="D208" s="161">
        <f aca="true" t="shared" si="105" ref="D208:O208">SUM(D204:D207)</f>
        <v>1753</v>
      </c>
      <c r="E208" s="161">
        <f t="shared" si="105"/>
        <v>2466</v>
      </c>
      <c r="F208" s="161">
        <f t="shared" si="105"/>
        <v>323</v>
      </c>
      <c r="G208" s="162">
        <f t="shared" si="105"/>
        <v>2143</v>
      </c>
      <c r="H208" s="160">
        <f t="shared" si="105"/>
        <v>383</v>
      </c>
      <c r="I208" s="161">
        <f t="shared" si="105"/>
        <v>0</v>
      </c>
      <c r="J208" s="162">
        <f t="shared" si="105"/>
        <v>383</v>
      </c>
      <c r="K208" s="160">
        <f t="shared" si="105"/>
        <v>2849</v>
      </c>
      <c r="L208" s="161">
        <f t="shared" si="105"/>
        <v>323</v>
      </c>
      <c r="M208" s="162">
        <f t="shared" si="105"/>
        <v>2526</v>
      </c>
      <c r="N208" s="192">
        <f t="shared" si="105"/>
        <v>12562</v>
      </c>
      <c r="O208" s="161">
        <f t="shared" si="105"/>
        <v>2</v>
      </c>
      <c r="P208" s="33">
        <f t="shared" si="103"/>
        <v>12564</v>
      </c>
      <c r="Q208" s="33">
        <f t="shared" si="96"/>
        <v>2849</v>
      </c>
      <c r="R208" s="88">
        <f t="shared" si="104"/>
        <v>0.22675899395097102</v>
      </c>
    </row>
    <row r="209" spans="1:18" ht="12.75">
      <c r="A209" s="30" t="s">
        <v>83</v>
      </c>
      <c r="B209" s="38" t="s">
        <v>169</v>
      </c>
      <c r="C209" s="112">
        <v>31</v>
      </c>
      <c r="D209" s="110">
        <v>48</v>
      </c>
      <c r="E209" s="104">
        <f t="shared" si="93"/>
        <v>79</v>
      </c>
      <c r="F209" s="108">
        <v>2</v>
      </c>
      <c r="G209" s="109">
        <f t="shared" si="90"/>
        <v>77</v>
      </c>
      <c r="H209" s="135">
        <v>2</v>
      </c>
      <c r="I209" s="104">
        <v>0</v>
      </c>
      <c r="J209" s="120">
        <f t="shared" si="101"/>
        <v>2</v>
      </c>
      <c r="K209" s="118">
        <f t="shared" si="102"/>
        <v>81</v>
      </c>
      <c r="L209" s="104">
        <f t="shared" si="75"/>
        <v>2</v>
      </c>
      <c r="M209" s="120">
        <f t="shared" si="76"/>
        <v>79</v>
      </c>
      <c r="N209" s="119">
        <v>382</v>
      </c>
      <c r="O209" s="104">
        <v>0</v>
      </c>
      <c r="P209" s="104">
        <f t="shared" si="103"/>
        <v>382</v>
      </c>
      <c r="Q209" s="104">
        <f t="shared" si="96"/>
        <v>81</v>
      </c>
      <c r="R209" s="86">
        <f t="shared" si="104"/>
        <v>0.21204188481675393</v>
      </c>
    </row>
    <row r="210" spans="1:18" ht="12.75">
      <c r="A210" s="30" t="s">
        <v>103</v>
      </c>
      <c r="B210" s="38" t="s">
        <v>131</v>
      </c>
      <c r="C210" s="112">
        <v>60</v>
      </c>
      <c r="D210" s="110">
        <v>105</v>
      </c>
      <c r="E210" s="104">
        <f t="shared" si="93"/>
        <v>165</v>
      </c>
      <c r="F210" s="108">
        <v>3</v>
      </c>
      <c r="G210" s="109">
        <f t="shared" si="90"/>
        <v>162</v>
      </c>
      <c r="H210" s="135">
        <v>18</v>
      </c>
      <c r="I210" s="104">
        <v>0</v>
      </c>
      <c r="J210" s="120">
        <f t="shared" si="101"/>
        <v>18</v>
      </c>
      <c r="K210" s="118">
        <v>183</v>
      </c>
      <c r="L210" s="104">
        <v>3</v>
      </c>
      <c r="M210" s="120">
        <f t="shared" si="76"/>
        <v>180</v>
      </c>
      <c r="N210" s="119">
        <v>1171</v>
      </c>
      <c r="O210" s="104">
        <v>0</v>
      </c>
      <c r="P210" s="104">
        <f t="shared" si="103"/>
        <v>1171</v>
      </c>
      <c r="Q210" s="104">
        <f t="shared" si="96"/>
        <v>183</v>
      </c>
      <c r="R210" s="86">
        <f t="shared" si="104"/>
        <v>0.15627668659265584</v>
      </c>
    </row>
    <row r="211" spans="1:18" ht="12.75">
      <c r="A211" s="30" t="s">
        <v>84</v>
      </c>
      <c r="B211" s="38" t="s">
        <v>157</v>
      </c>
      <c r="C211" s="112">
        <v>27</v>
      </c>
      <c r="D211" s="110">
        <v>25</v>
      </c>
      <c r="E211" s="104">
        <f t="shared" si="93"/>
        <v>52</v>
      </c>
      <c r="F211" s="108">
        <v>3</v>
      </c>
      <c r="G211" s="109">
        <f t="shared" si="90"/>
        <v>49</v>
      </c>
      <c r="H211" s="135">
        <v>5</v>
      </c>
      <c r="I211" s="104">
        <v>0</v>
      </c>
      <c r="J211" s="120">
        <f t="shared" si="101"/>
        <v>5</v>
      </c>
      <c r="K211" s="118">
        <f t="shared" si="102"/>
        <v>57</v>
      </c>
      <c r="L211" s="104">
        <f t="shared" si="75"/>
        <v>3</v>
      </c>
      <c r="M211" s="120">
        <f t="shared" si="76"/>
        <v>54</v>
      </c>
      <c r="N211" s="119">
        <v>231</v>
      </c>
      <c r="O211" s="104">
        <v>0</v>
      </c>
      <c r="P211" s="104">
        <f t="shared" si="103"/>
        <v>231</v>
      </c>
      <c r="Q211" s="104">
        <f t="shared" si="96"/>
        <v>57</v>
      </c>
      <c r="R211" s="86">
        <f t="shared" si="104"/>
        <v>0.24675324675324675</v>
      </c>
    </row>
    <row r="212" spans="1:18" ht="12.75">
      <c r="A212" s="30" t="s">
        <v>85</v>
      </c>
      <c r="B212" s="38" t="s">
        <v>152</v>
      </c>
      <c r="C212" s="112">
        <v>55</v>
      </c>
      <c r="D212" s="110">
        <v>60</v>
      </c>
      <c r="E212" s="104">
        <f t="shared" si="93"/>
        <v>115</v>
      </c>
      <c r="F212" s="108">
        <v>15</v>
      </c>
      <c r="G212" s="109">
        <f t="shared" si="90"/>
        <v>100</v>
      </c>
      <c r="H212" s="135">
        <v>5</v>
      </c>
      <c r="I212" s="104">
        <v>0</v>
      </c>
      <c r="J212" s="120">
        <f t="shared" si="101"/>
        <v>5</v>
      </c>
      <c r="K212" s="118">
        <f t="shared" si="102"/>
        <v>120</v>
      </c>
      <c r="L212" s="104">
        <f t="shared" si="75"/>
        <v>15</v>
      </c>
      <c r="M212" s="120">
        <f t="shared" si="76"/>
        <v>105</v>
      </c>
      <c r="N212" s="119">
        <v>491</v>
      </c>
      <c r="O212" s="104">
        <v>0</v>
      </c>
      <c r="P212" s="104">
        <f t="shared" si="103"/>
        <v>491</v>
      </c>
      <c r="Q212" s="104">
        <f t="shared" si="96"/>
        <v>120</v>
      </c>
      <c r="R212" s="86">
        <f t="shared" si="104"/>
        <v>0.24439918533604887</v>
      </c>
    </row>
    <row r="213" spans="1:18" ht="12.75">
      <c r="A213" s="30" t="s">
        <v>86</v>
      </c>
      <c r="B213" s="38" t="s">
        <v>174</v>
      </c>
      <c r="C213" s="112">
        <v>79</v>
      </c>
      <c r="D213" s="110">
        <v>17</v>
      </c>
      <c r="E213" s="104">
        <f t="shared" si="93"/>
        <v>96</v>
      </c>
      <c r="F213" s="108">
        <v>2</v>
      </c>
      <c r="G213" s="109">
        <f t="shared" si="90"/>
        <v>94</v>
      </c>
      <c r="H213" s="135">
        <v>11</v>
      </c>
      <c r="I213" s="104">
        <v>0</v>
      </c>
      <c r="J213" s="120">
        <f t="shared" si="101"/>
        <v>11</v>
      </c>
      <c r="K213" s="118">
        <f t="shared" si="102"/>
        <v>107</v>
      </c>
      <c r="L213" s="104">
        <f t="shared" si="75"/>
        <v>2</v>
      </c>
      <c r="M213" s="120">
        <f t="shared" si="76"/>
        <v>105</v>
      </c>
      <c r="N213" s="119">
        <v>568</v>
      </c>
      <c r="O213" s="104">
        <v>0</v>
      </c>
      <c r="P213" s="104">
        <f t="shared" si="103"/>
        <v>568</v>
      </c>
      <c r="Q213" s="104">
        <f t="shared" si="96"/>
        <v>107</v>
      </c>
      <c r="R213" s="86">
        <f t="shared" si="104"/>
        <v>0.18838028169014084</v>
      </c>
    </row>
    <row r="214" spans="1:18" ht="12.75">
      <c r="A214" s="30" t="s">
        <v>87</v>
      </c>
      <c r="B214" s="38" t="s">
        <v>136</v>
      </c>
      <c r="C214" s="112">
        <v>37</v>
      </c>
      <c r="D214" s="110">
        <v>38</v>
      </c>
      <c r="E214" s="104">
        <f t="shared" si="93"/>
        <v>75</v>
      </c>
      <c r="F214" s="108">
        <v>3</v>
      </c>
      <c r="G214" s="109">
        <f t="shared" si="90"/>
        <v>72</v>
      </c>
      <c r="H214" s="135">
        <v>11</v>
      </c>
      <c r="I214" s="104">
        <v>0</v>
      </c>
      <c r="J214" s="120">
        <f t="shared" si="101"/>
        <v>11</v>
      </c>
      <c r="K214" s="118">
        <f t="shared" si="102"/>
        <v>86</v>
      </c>
      <c r="L214" s="104">
        <f t="shared" si="75"/>
        <v>3</v>
      </c>
      <c r="M214" s="120">
        <f t="shared" si="76"/>
        <v>83</v>
      </c>
      <c r="N214" s="119">
        <v>403</v>
      </c>
      <c r="O214" s="104">
        <v>0</v>
      </c>
      <c r="P214" s="104">
        <f t="shared" si="103"/>
        <v>403</v>
      </c>
      <c r="Q214" s="104">
        <f t="shared" si="96"/>
        <v>86</v>
      </c>
      <c r="R214" s="86">
        <f t="shared" si="104"/>
        <v>0.21339950372208435</v>
      </c>
    </row>
    <row r="215" spans="1:18" ht="12.75">
      <c r="A215" s="149"/>
      <c r="B215" s="150" t="s">
        <v>292</v>
      </c>
      <c r="C215" s="151">
        <f>C204+C205+C206+C207+C209+C210+C211+C212+C213+C214</f>
        <v>1002</v>
      </c>
      <c r="D215" s="152">
        <f aca="true" t="shared" si="106" ref="D215:P215">D204+D205+D206+D207+D209+D210+D211+D212+D213+D214</f>
        <v>2046</v>
      </c>
      <c r="E215" s="152">
        <f t="shared" si="106"/>
        <v>3048</v>
      </c>
      <c r="F215" s="152">
        <f t="shared" si="106"/>
        <v>351</v>
      </c>
      <c r="G215" s="153">
        <f t="shared" si="106"/>
        <v>2697</v>
      </c>
      <c r="H215" s="151">
        <f t="shared" si="106"/>
        <v>435</v>
      </c>
      <c r="I215" s="152">
        <f t="shared" si="106"/>
        <v>0</v>
      </c>
      <c r="J215" s="153">
        <f t="shared" si="106"/>
        <v>435</v>
      </c>
      <c r="K215" s="151">
        <f t="shared" si="106"/>
        <v>3483</v>
      </c>
      <c r="L215" s="152">
        <f t="shared" si="106"/>
        <v>351</v>
      </c>
      <c r="M215" s="153">
        <f t="shared" si="106"/>
        <v>3132</v>
      </c>
      <c r="N215" s="154">
        <f t="shared" si="106"/>
        <v>15808</v>
      </c>
      <c r="O215" s="152">
        <f t="shared" si="106"/>
        <v>2</v>
      </c>
      <c r="P215" s="155">
        <f t="shared" si="106"/>
        <v>15810</v>
      </c>
      <c r="Q215" s="138">
        <f t="shared" si="96"/>
        <v>3483</v>
      </c>
      <c r="R215" s="156">
        <f>Q215/P215</f>
        <v>0.22030360531309298</v>
      </c>
    </row>
    <row r="216" spans="1:18" ht="12.75" customHeight="1">
      <c r="A216" s="36" t="s">
        <v>495</v>
      </c>
      <c r="B216" s="53"/>
      <c r="C216" s="105"/>
      <c r="D216" s="33"/>
      <c r="E216" s="104"/>
      <c r="F216" s="33"/>
      <c r="G216" s="109"/>
      <c r="H216" s="105"/>
      <c r="I216" s="33"/>
      <c r="J216" s="106"/>
      <c r="K216" s="105"/>
      <c r="L216" s="104"/>
      <c r="M216" s="120"/>
      <c r="N216" s="93"/>
      <c r="O216" s="33"/>
      <c r="P216" s="104"/>
      <c r="Q216" s="104"/>
      <c r="R216" s="88"/>
    </row>
    <row r="217" spans="1:18" ht="12.75">
      <c r="A217" s="30" t="s">
        <v>88</v>
      </c>
      <c r="B217" s="38" t="s">
        <v>156</v>
      </c>
      <c r="C217" s="112">
        <v>102</v>
      </c>
      <c r="D217" s="110">
        <v>148</v>
      </c>
      <c r="E217" s="104">
        <f t="shared" si="93"/>
        <v>250</v>
      </c>
      <c r="F217" s="108">
        <v>8</v>
      </c>
      <c r="G217" s="109">
        <f t="shared" si="90"/>
        <v>242</v>
      </c>
      <c r="H217" s="135">
        <v>17</v>
      </c>
      <c r="I217" s="104">
        <v>0</v>
      </c>
      <c r="J217" s="120">
        <f aca="true" t="shared" si="107" ref="J217:J223">H217-I217</f>
        <v>17</v>
      </c>
      <c r="K217" s="118">
        <f aca="true" t="shared" si="108" ref="K217:K223">E217+H217</f>
        <v>267</v>
      </c>
      <c r="L217" s="104">
        <f aca="true" t="shared" si="109" ref="L217:L223">F217+I217</f>
        <v>8</v>
      </c>
      <c r="M217" s="120">
        <f aca="true" t="shared" si="110" ref="M217:M223">K217-L217</f>
        <v>259</v>
      </c>
      <c r="N217" s="119">
        <v>930</v>
      </c>
      <c r="O217" s="104">
        <v>0</v>
      </c>
      <c r="P217" s="104">
        <f t="shared" si="77"/>
        <v>930</v>
      </c>
      <c r="Q217" s="104">
        <f t="shared" si="96"/>
        <v>267</v>
      </c>
      <c r="R217" s="86">
        <f>Q217/P217</f>
        <v>0.2870967741935484</v>
      </c>
    </row>
    <row r="218" spans="1:18" ht="12.75">
      <c r="A218" s="30" t="s">
        <v>294</v>
      </c>
      <c r="B218" s="38" t="s">
        <v>145</v>
      </c>
      <c r="C218" s="112">
        <v>0</v>
      </c>
      <c r="D218" s="110">
        <v>5</v>
      </c>
      <c r="E218" s="104">
        <f t="shared" si="93"/>
        <v>5</v>
      </c>
      <c r="F218" s="108">
        <v>2</v>
      </c>
      <c r="G218" s="109">
        <f t="shared" si="90"/>
        <v>3</v>
      </c>
      <c r="H218" s="118">
        <v>2</v>
      </c>
      <c r="I218" s="104">
        <v>0</v>
      </c>
      <c r="J218" s="120">
        <f t="shared" si="107"/>
        <v>2</v>
      </c>
      <c r="K218" s="118">
        <f t="shared" si="108"/>
        <v>7</v>
      </c>
      <c r="L218" s="104">
        <f t="shared" si="109"/>
        <v>2</v>
      </c>
      <c r="M218" s="120">
        <f t="shared" si="110"/>
        <v>5</v>
      </c>
      <c r="N218" s="119">
        <v>117</v>
      </c>
      <c r="O218" s="104">
        <v>0</v>
      </c>
      <c r="P218" s="104">
        <f aca="true" t="shared" si="111" ref="P218:P223">N218+O218</f>
        <v>117</v>
      </c>
      <c r="Q218" s="104">
        <f t="shared" si="96"/>
        <v>7</v>
      </c>
      <c r="R218" s="86">
        <f aca="true" t="shared" si="112" ref="R218:R223">Q218/P218</f>
        <v>0.05982905982905983</v>
      </c>
    </row>
    <row r="219" spans="1:18" ht="12.75">
      <c r="A219" s="30" t="s">
        <v>89</v>
      </c>
      <c r="B219" s="38" t="s">
        <v>180</v>
      </c>
      <c r="C219" s="112">
        <v>10</v>
      </c>
      <c r="D219" s="110">
        <v>16</v>
      </c>
      <c r="E219" s="104">
        <f t="shared" si="93"/>
        <v>26</v>
      </c>
      <c r="F219" s="108">
        <v>4</v>
      </c>
      <c r="G219" s="109">
        <f t="shared" si="90"/>
        <v>22</v>
      </c>
      <c r="H219" s="135">
        <v>1</v>
      </c>
      <c r="I219" s="104">
        <v>0</v>
      </c>
      <c r="J219" s="120">
        <f t="shared" si="107"/>
        <v>1</v>
      </c>
      <c r="K219" s="118">
        <f t="shared" si="108"/>
        <v>27</v>
      </c>
      <c r="L219" s="104">
        <f t="shared" si="109"/>
        <v>4</v>
      </c>
      <c r="M219" s="120">
        <f t="shared" si="110"/>
        <v>23</v>
      </c>
      <c r="N219" s="119">
        <v>452</v>
      </c>
      <c r="O219" s="104">
        <v>0</v>
      </c>
      <c r="P219" s="104">
        <f t="shared" si="111"/>
        <v>452</v>
      </c>
      <c r="Q219" s="104">
        <f t="shared" si="96"/>
        <v>27</v>
      </c>
      <c r="R219" s="86">
        <f t="shared" si="112"/>
        <v>0.059734513274336286</v>
      </c>
    </row>
    <row r="220" spans="1:18" ht="12.75">
      <c r="A220" s="30" t="s">
        <v>90</v>
      </c>
      <c r="B220" s="38" t="s">
        <v>158</v>
      </c>
      <c r="C220" s="112">
        <v>15</v>
      </c>
      <c r="D220" s="110">
        <v>10</v>
      </c>
      <c r="E220" s="104">
        <f t="shared" si="93"/>
        <v>25</v>
      </c>
      <c r="F220" s="108">
        <v>1</v>
      </c>
      <c r="G220" s="109">
        <f t="shared" si="90"/>
        <v>24</v>
      </c>
      <c r="H220" s="135">
        <v>0</v>
      </c>
      <c r="I220" s="104">
        <v>0</v>
      </c>
      <c r="J220" s="120">
        <f t="shared" si="107"/>
        <v>0</v>
      </c>
      <c r="K220" s="118">
        <f t="shared" si="108"/>
        <v>25</v>
      </c>
      <c r="L220" s="104">
        <f t="shared" si="109"/>
        <v>1</v>
      </c>
      <c r="M220" s="120">
        <f t="shared" si="110"/>
        <v>24</v>
      </c>
      <c r="N220" s="119">
        <v>110</v>
      </c>
      <c r="O220" s="104">
        <v>1</v>
      </c>
      <c r="P220" s="104">
        <f t="shared" si="111"/>
        <v>111</v>
      </c>
      <c r="Q220" s="104">
        <f t="shared" si="96"/>
        <v>25</v>
      </c>
      <c r="R220" s="86">
        <f t="shared" si="112"/>
        <v>0.22522522522522523</v>
      </c>
    </row>
    <row r="221" spans="1:18" ht="12.75">
      <c r="A221" s="30" t="s">
        <v>91</v>
      </c>
      <c r="B221" s="38" t="s">
        <v>132</v>
      </c>
      <c r="C221" s="112">
        <v>41</v>
      </c>
      <c r="D221" s="110">
        <v>65</v>
      </c>
      <c r="E221" s="104">
        <f t="shared" si="93"/>
        <v>106</v>
      </c>
      <c r="F221" s="108">
        <v>2</v>
      </c>
      <c r="G221" s="109">
        <f t="shared" si="90"/>
        <v>104</v>
      </c>
      <c r="H221" s="135">
        <v>1</v>
      </c>
      <c r="I221" s="104">
        <v>0</v>
      </c>
      <c r="J221" s="120">
        <f t="shared" si="107"/>
        <v>1</v>
      </c>
      <c r="K221" s="118">
        <f t="shared" si="108"/>
        <v>107</v>
      </c>
      <c r="L221" s="104">
        <f t="shared" si="109"/>
        <v>2</v>
      </c>
      <c r="M221" s="120">
        <f t="shared" si="110"/>
        <v>105</v>
      </c>
      <c r="N221" s="119">
        <v>289</v>
      </c>
      <c r="O221" s="104">
        <v>0</v>
      </c>
      <c r="P221" s="104">
        <f t="shared" si="111"/>
        <v>289</v>
      </c>
      <c r="Q221" s="104">
        <f t="shared" si="96"/>
        <v>107</v>
      </c>
      <c r="R221" s="86">
        <f t="shared" si="112"/>
        <v>0.370242214532872</v>
      </c>
    </row>
    <row r="222" spans="1:18" ht="12.75">
      <c r="A222" s="30" t="s">
        <v>92</v>
      </c>
      <c r="B222" s="38" t="s">
        <v>187</v>
      </c>
      <c r="C222" s="112">
        <v>26</v>
      </c>
      <c r="D222" s="110">
        <v>29</v>
      </c>
      <c r="E222" s="104">
        <f t="shared" si="93"/>
        <v>55</v>
      </c>
      <c r="F222" s="108">
        <v>6</v>
      </c>
      <c r="G222" s="109">
        <f t="shared" si="90"/>
        <v>49</v>
      </c>
      <c r="H222" s="135">
        <v>2</v>
      </c>
      <c r="I222" s="104">
        <v>0</v>
      </c>
      <c r="J222" s="120">
        <f t="shared" si="107"/>
        <v>2</v>
      </c>
      <c r="K222" s="118">
        <f t="shared" si="108"/>
        <v>57</v>
      </c>
      <c r="L222" s="104">
        <f t="shared" si="109"/>
        <v>6</v>
      </c>
      <c r="M222" s="120">
        <f t="shared" si="110"/>
        <v>51</v>
      </c>
      <c r="N222" s="119">
        <v>438</v>
      </c>
      <c r="O222" s="104">
        <v>1</v>
      </c>
      <c r="P222" s="104">
        <f t="shared" si="111"/>
        <v>439</v>
      </c>
      <c r="Q222" s="104">
        <f t="shared" si="96"/>
        <v>57</v>
      </c>
      <c r="R222" s="86">
        <f t="shared" si="112"/>
        <v>0.12984054669703873</v>
      </c>
    </row>
    <row r="223" spans="1:18" ht="12.75">
      <c r="A223" s="30" t="s">
        <v>93</v>
      </c>
      <c r="B223" s="38" t="s">
        <v>178</v>
      </c>
      <c r="C223" s="112">
        <v>130</v>
      </c>
      <c r="D223" s="110">
        <v>124</v>
      </c>
      <c r="E223" s="104">
        <f t="shared" si="93"/>
        <v>254</v>
      </c>
      <c r="F223" s="108">
        <v>10</v>
      </c>
      <c r="G223" s="109">
        <f t="shared" si="90"/>
        <v>244</v>
      </c>
      <c r="H223" s="135">
        <v>27</v>
      </c>
      <c r="I223" s="104">
        <v>0</v>
      </c>
      <c r="J223" s="120">
        <f t="shared" si="107"/>
        <v>27</v>
      </c>
      <c r="K223" s="118">
        <f t="shared" si="108"/>
        <v>281</v>
      </c>
      <c r="L223" s="104">
        <f t="shared" si="109"/>
        <v>10</v>
      </c>
      <c r="M223" s="120">
        <f t="shared" si="110"/>
        <v>271</v>
      </c>
      <c r="N223" s="119">
        <v>1707</v>
      </c>
      <c r="O223" s="104">
        <v>0</v>
      </c>
      <c r="P223" s="104">
        <f t="shared" si="111"/>
        <v>1707</v>
      </c>
      <c r="Q223" s="104">
        <f t="shared" si="96"/>
        <v>281</v>
      </c>
      <c r="R223" s="86">
        <f t="shared" si="112"/>
        <v>0.16461628588166374</v>
      </c>
    </row>
    <row r="224" spans="1:18" ht="12.75">
      <c r="A224" s="149"/>
      <c r="B224" s="150" t="s">
        <v>293</v>
      </c>
      <c r="C224" s="151">
        <f>C217+C218+C219+C220+C221+C222+C223</f>
        <v>324</v>
      </c>
      <c r="D224" s="152">
        <f aca="true" t="shared" si="113" ref="D224:P224">D217+D218+D219+D220+D221+D222+D223</f>
        <v>397</v>
      </c>
      <c r="E224" s="152">
        <f t="shared" si="113"/>
        <v>721</v>
      </c>
      <c r="F224" s="152">
        <f t="shared" si="113"/>
        <v>33</v>
      </c>
      <c r="G224" s="153">
        <f t="shared" si="113"/>
        <v>688</v>
      </c>
      <c r="H224" s="151">
        <f t="shared" si="113"/>
        <v>50</v>
      </c>
      <c r="I224" s="152">
        <f t="shared" si="113"/>
        <v>0</v>
      </c>
      <c r="J224" s="153">
        <f t="shared" si="113"/>
        <v>50</v>
      </c>
      <c r="K224" s="151">
        <f t="shared" si="113"/>
        <v>771</v>
      </c>
      <c r="L224" s="152">
        <f t="shared" si="113"/>
        <v>33</v>
      </c>
      <c r="M224" s="153">
        <f t="shared" si="113"/>
        <v>738</v>
      </c>
      <c r="N224" s="154">
        <f t="shared" si="113"/>
        <v>4043</v>
      </c>
      <c r="O224" s="152">
        <f t="shared" si="113"/>
        <v>2</v>
      </c>
      <c r="P224" s="152">
        <f t="shared" si="113"/>
        <v>4045</v>
      </c>
      <c r="Q224" s="138">
        <f t="shared" si="96"/>
        <v>771</v>
      </c>
      <c r="R224" s="156">
        <f>Q224/P224</f>
        <v>0.19060568603213845</v>
      </c>
    </row>
    <row r="225" spans="1:18" ht="24.75" customHeight="1">
      <c r="A225" s="41"/>
      <c r="B225" s="140" t="s">
        <v>281</v>
      </c>
      <c r="C225" s="141">
        <f>C224+C215+C202+C195+C184+C175+C171+C167+C164+C155+C139</f>
        <v>8171</v>
      </c>
      <c r="D225" s="142">
        <f aca="true" t="shared" si="114" ref="D225:Q225">D224+D215+D202+D195+D184+D175+D171+D167+D164+D155+D139</f>
        <v>20129</v>
      </c>
      <c r="E225" s="142">
        <f t="shared" si="114"/>
        <v>28300</v>
      </c>
      <c r="F225" s="142">
        <f t="shared" si="114"/>
        <v>2537</v>
      </c>
      <c r="G225" s="145">
        <f t="shared" si="114"/>
        <v>25763</v>
      </c>
      <c r="H225" s="141">
        <f t="shared" si="114"/>
        <v>3683</v>
      </c>
      <c r="I225" s="142">
        <f t="shared" si="114"/>
        <v>1</v>
      </c>
      <c r="J225" s="145">
        <f t="shared" si="114"/>
        <v>3682</v>
      </c>
      <c r="K225" s="141">
        <f t="shared" si="114"/>
        <v>31586</v>
      </c>
      <c r="L225" s="142">
        <f t="shared" si="114"/>
        <v>2538</v>
      </c>
      <c r="M225" s="145">
        <f t="shared" si="114"/>
        <v>29029</v>
      </c>
      <c r="N225" s="147">
        <f t="shared" si="114"/>
        <v>190673</v>
      </c>
      <c r="O225" s="142">
        <f t="shared" si="114"/>
        <v>45</v>
      </c>
      <c r="P225" s="142">
        <f t="shared" si="114"/>
        <v>190718</v>
      </c>
      <c r="Q225" s="142">
        <f t="shared" si="114"/>
        <v>31586</v>
      </c>
      <c r="R225" s="158">
        <f>Q225/P225</f>
        <v>0.16561625017040868</v>
      </c>
    </row>
    <row r="226" spans="1:18" ht="12.75">
      <c r="A226" s="41"/>
      <c r="B226" s="56"/>
      <c r="C226" s="128"/>
      <c r="D226" s="129"/>
      <c r="E226" s="104"/>
      <c r="F226" s="129"/>
      <c r="G226" s="109"/>
      <c r="H226" s="135"/>
      <c r="I226" s="104"/>
      <c r="J226" s="120"/>
      <c r="K226" s="118"/>
      <c r="L226" s="104"/>
      <c r="M226" s="120"/>
      <c r="N226" s="93"/>
      <c r="O226" s="33"/>
      <c r="P226" s="33"/>
      <c r="Q226" s="104"/>
      <c r="R226" s="81"/>
    </row>
    <row r="227" spans="1:18" ht="33.75" customHeight="1">
      <c r="A227" s="42"/>
      <c r="B227" s="50" t="s">
        <v>280</v>
      </c>
      <c r="C227" s="130">
        <f>C132</f>
        <v>13083</v>
      </c>
      <c r="D227" s="131">
        <f aca="true" t="shared" si="115" ref="D227:R227">D132</f>
        <v>22506</v>
      </c>
      <c r="E227" s="131">
        <f t="shared" si="115"/>
        <v>35589</v>
      </c>
      <c r="F227" s="131">
        <f t="shared" si="115"/>
        <v>2540</v>
      </c>
      <c r="G227" s="132">
        <f t="shared" si="115"/>
        <v>33049</v>
      </c>
      <c r="H227" s="130">
        <f t="shared" si="115"/>
        <v>2343</v>
      </c>
      <c r="I227" s="131">
        <f t="shared" si="115"/>
        <v>6</v>
      </c>
      <c r="J227" s="132">
        <f t="shared" si="115"/>
        <v>2337</v>
      </c>
      <c r="K227" s="130">
        <f t="shared" si="115"/>
        <v>37928</v>
      </c>
      <c r="L227" s="131">
        <f t="shared" si="115"/>
        <v>2546</v>
      </c>
      <c r="M227" s="132">
        <f t="shared" si="115"/>
        <v>38798</v>
      </c>
      <c r="N227" s="133">
        <f t="shared" si="115"/>
        <v>148709</v>
      </c>
      <c r="O227" s="131">
        <f t="shared" si="115"/>
        <v>98</v>
      </c>
      <c r="P227" s="131">
        <f t="shared" si="115"/>
        <v>148807</v>
      </c>
      <c r="Q227" s="131">
        <f t="shared" si="115"/>
        <v>37928</v>
      </c>
      <c r="R227" s="84">
        <f t="shared" si="115"/>
        <v>0.2548804827729878</v>
      </c>
    </row>
    <row r="228" spans="1:18" ht="27" customHeight="1">
      <c r="A228" s="159"/>
      <c r="B228" s="140" t="s">
        <v>281</v>
      </c>
      <c r="C228" s="141">
        <f>C225</f>
        <v>8171</v>
      </c>
      <c r="D228" s="142">
        <f aca="true" t="shared" si="116" ref="D228:R228">D225</f>
        <v>20129</v>
      </c>
      <c r="E228" s="142">
        <f t="shared" si="116"/>
        <v>28300</v>
      </c>
      <c r="F228" s="142">
        <f t="shared" si="116"/>
        <v>2537</v>
      </c>
      <c r="G228" s="145">
        <f t="shared" si="116"/>
        <v>25763</v>
      </c>
      <c r="H228" s="141">
        <f t="shared" si="116"/>
        <v>3683</v>
      </c>
      <c r="I228" s="142">
        <f t="shared" si="116"/>
        <v>1</v>
      </c>
      <c r="J228" s="145">
        <f t="shared" si="116"/>
        <v>3682</v>
      </c>
      <c r="K228" s="141">
        <f t="shared" si="116"/>
        <v>31586</v>
      </c>
      <c r="L228" s="142">
        <f t="shared" si="116"/>
        <v>2538</v>
      </c>
      <c r="M228" s="145">
        <f t="shared" si="116"/>
        <v>29029</v>
      </c>
      <c r="N228" s="147">
        <f t="shared" si="116"/>
        <v>190673</v>
      </c>
      <c r="O228" s="142">
        <f t="shared" si="116"/>
        <v>45</v>
      </c>
      <c r="P228" s="142">
        <f t="shared" si="116"/>
        <v>190718</v>
      </c>
      <c r="Q228" s="142">
        <f t="shared" si="116"/>
        <v>31586</v>
      </c>
      <c r="R228" s="158">
        <f t="shared" si="116"/>
        <v>0.16561625017040868</v>
      </c>
    </row>
    <row r="229" spans="1:18" ht="12.75">
      <c r="A229" s="41"/>
      <c r="B229" s="40"/>
      <c r="C229" s="118"/>
      <c r="D229" s="104"/>
      <c r="E229" s="104"/>
      <c r="F229" s="104"/>
      <c r="G229" s="120"/>
      <c r="H229" s="135"/>
      <c r="I229" s="104"/>
      <c r="J229" s="120"/>
      <c r="K229" s="118"/>
      <c r="L229" s="104"/>
      <c r="M229" s="120"/>
      <c r="N229" s="134"/>
      <c r="O229" s="129"/>
      <c r="P229" s="33"/>
      <c r="Q229" s="104"/>
      <c r="R229" s="81"/>
    </row>
    <row r="230" spans="1:18" ht="32.25" customHeight="1" thickBot="1">
      <c r="A230" s="164"/>
      <c r="B230" s="165" t="s">
        <v>279</v>
      </c>
      <c r="C230" s="166">
        <f>SUM(C227:C228)</f>
        <v>21254</v>
      </c>
      <c r="D230" s="166">
        <f>SUM(D227:D228)</f>
        <v>42635</v>
      </c>
      <c r="E230" s="166">
        <f>SUM(E227:E228)</f>
        <v>63889</v>
      </c>
      <c r="F230" s="166">
        <f>SUM(F227:F228)</f>
        <v>5077</v>
      </c>
      <c r="G230" s="166">
        <f>SUM(G227:G228)</f>
        <v>58812</v>
      </c>
      <c r="H230" s="217">
        <f>H225+H132</f>
        <v>6026</v>
      </c>
      <c r="I230" s="217">
        <f>I225+I132</f>
        <v>7</v>
      </c>
      <c r="J230" s="217">
        <f>J225+J132</f>
        <v>6019</v>
      </c>
      <c r="K230" s="166">
        <f>SUM(K227:K228)</f>
        <v>69514</v>
      </c>
      <c r="L230" s="166">
        <f>SUM(L227:L228)</f>
        <v>5084</v>
      </c>
      <c r="M230" s="166">
        <f>SUM(M227:M228)</f>
        <v>67827</v>
      </c>
      <c r="N230" s="166">
        <f>SUM(N227:N228)</f>
        <v>339382</v>
      </c>
      <c r="O230" s="166">
        <f>SUM(O227:O228)</f>
        <v>143</v>
      </c>
      <c r="P230" s="166">
        <f>SUM(N230:O230)</f>
        <v>339525</v>
      </c>
      <c r="Q230" s="166">
        <f>SUM(Q227:Q228)</f>
        <v>69514</v>
      </c>
      <c r="R230" s="167">
        <f>Q230/P230</f>
        <v>0.20473897356601134</v>
      </c>
    </row>
    <row r="231" ht="13.5" thickTop="1"/>
    <row r="232" ht="12.75"/>
    <row r="233" ht="12.75"/>
    <row r="234" ht="12.75"/>
    <row r="235" ht="12.75"/>
    <row r="236" ht="12.75"/>
    <row r="237" ht="12.75"/>
    <row r="238" ht="12.75"/>
  </sheetData>
  <mergeCells count="10">
    <mergeCell ref="A1:A2"/>
    <mergeCell ref="R1:R2"/>
    <mergeCell ref="K1:M1"/>
    <mergeCell ref="Q1:Q2"/>
    <mergeCell ref="B1:B2"/>
    <mergeCell ref="C1:G1"/>
    <mergeCell ref="O1:O2"/>
    <mergeCell ref="P1:P2"/>
    <mergeCell ref="N1:N2"/>
    <mergeCell ref="H1:J1"/>
  </mergeCells>
  <printOptions horizontalCentered="1"/>
  <pageMargins left="0.2755905511811024" right="0.2362204724409449" top="0.67" bottom="0.2755905511811024" header="0.2755905511811024" footer="0.15748031496062992"/>
  <pageSetup horizontalDpi="600" verticalDpi="600" orientation="landscape" paperSize="8" scale="66" r:id="rId3"/>
  <headerFooter alignWithMargins="0">
    <oddHeader>&amp;C&amp;"Arial,Gras"&amp;18Statistiques AFE 2009</oddHeader>
  </headerFooter>
  <rowBreaks count="3" manualBreakCount="3">
    <brk id="76" max="17" man="1"/>
    <brk id="132" max="15" man="1"/>
    <brk id="202" max="15" man="1"/>
  </rowBreaks>
  <legacyDrawing r:id="rId2"/>
</worksheet>
</file>

<file path=xl/worksheets/sheet2.xml><?xml version="1.0" encoding="utf-8"?>
<worksheet xmlns="http://schemas.openxmlformats.org/spreadsheetml/2006/main" xmlns:r="http://schemas.openxmlformats.org/officeDocument/2006/relationships">
  <dimension ref="A1:U366"/>
  <sheetViews>
    <sheetView tabSelected="1" zoomScaleSheetLayoutView="85" workbookViewId="0" topLeftCell="A1">
      <selection activeCell="A1" sqref="A1"/>
    </sheetView>
  </sheetViews>
  <sheetFormatPr defaultColWidth="11.421875" defaultRowHeight="12.75"/>
  <cols>
    <col min="1" max="1" width="18.28125" style="24" customWidth="1"/>
    <col min="2" max="2" width="14.28125" style="24" customWidth="1"/>
    <col min="3" max="3" width="11.28125" style="24" bestFit="1" customWidth="1"/>
    <col min="4" max="7" width="11.421875" style="24" customWidth="1"/>
    <col min="8" max="8" width="13.140625" style="24" customWidth="1"/>
    <col min="9" max="12" width="11.421875" style="24" customWidth="1"/>
    <col min="13" max="14" width="13.140625" style="24" customWidth="1"/>
    <col min="15" max="16384" width="11.421875" style="24" customWidth="1"/>
  </cols>
  <sheetData>
    <row r="1" spans="1:21" ht="19.5" thickBot="1">
      <c r="A1" s="194"/>
      <c r="B1" s="194"/>
      <c r="C1" s="194"/>
      <c r="D1" s="194"/>
      <c r="E1" s="195" t="s">
        <v>658</v>
      </c>
      <c r="F1" s="194"/>
      <c r="G1" s="194"/>
      <c r="H1" s="194"/>
      <c r="I1" s="194"/>
      <c r="J1" s="194"/>
      <c r="K1" s="194"/>
      <c r="L1" s="194"/>
      <c r="M1" s="194"/>
      <c r="N1" s="194"/>
      <c r="O1" s="194"/>
      <c r="P1" s="194"/>
      <c r="Q1" s="194"/>
      <c r="R1" s="194"/>
      <c r="S1" s="194"/>
      <c r="T1" s="194"/>
      <c r="U1" s="194"/>
    </row>
    <row r="2" spans="1:18" ht="15.75" thickTop="1">
      <c r="A2" s="63" t="s">
        <v>291</v>
      </c>
      <c r="B2" s="62"/>
      <c r="C2" s="62"/>
      <c r="D2" s="62"/>
      <c r="E2" s="62"/>
      <c r="F2" s="62"/>
      <c r="G2" s="62"/>
      <c r="H2" s="62"/>
      <c r="I2" s="62"/>
      <c r="J2" s="62"/>
      <c r="K2" s="62"/>
      <c r="L2" s="62"/>
      <c r="M2" s="62"/>
      <c r="N2" s="62"/>
      <c r="O2" s="62"/>
      <c r="P2" s="62"/>
      <c r="Q2" s="196"/>
      <c r="R2" s="197"/>
    </row>
    <row r="3" spans="1:18" ht="162" customHeight="1">
      <c r="A3" s="301" t="s">
        <v>202</v>
      </c>
      <c r="B3" s="231"/>
      <c r="C3" s="302" t="s">
        <v>497</v>
      </c>
      <c r="D3" s="271" t="s">
        <v>283</v>
      </c>
      <c r="E3" s="328" t="s">
        <v>516</v>
      </c>
      <c r="F3" s="331"/>
      <c r="G3" s="334" t="s">
        <v>517</v>
      </c>
      <c r="H3" s="335"/>
      <c r="I3" s="328" t="s">
        <v>518</v>
      </c>
      <c r="J3" s="331"/>
      <c r="K3" s="328" t="s">
        <v>519</v>
      </c>
      <c r="L3" s="331"/>
      <c r="M3" s="328" t="s">
        <v>520</v>
      </c>
      <c r="N3" s="331"/>
      <c r="O3" s="328" t="s">
        <v>486</v>
      </c>
      <c r="P3" s="331"/>
      <c r="Q3" s="328" t="s">
        <v>521</v>
      </c>
      <c r="R3" s="329"/>
    </row>
    <row r="4" spans="1:18" ht="25.5">
      <c r="A4" s="301"/>
      <c r="B4" s="231"/>
      <c r="C4" s="303"/>
      <c r="D4" s="271"/>
      <c r="E4" s="4" t="s">
        <v>284</v>
      </c>
      <c r="F4" s="26" t="s">
        <v>285</v>
      </c>
      <c r="G4" s="4" t="s">
        <v>284</v>
      </c>
      <c r="H4" s="4" t="s">
        <v>285</v>
      </c>
      <c r="I4" s="4" t="s">
        <v>284</v>
      </c>
      <c r="J4" s="4" t="s">
        <v>285</v>
      </c>
      <c r="K4" s="4" t="s">
        <v>284</v>
      </c>
      <c r="L4" s="4" t="s">
        <v>285</v>
      </c>
      <c r="M4" s="4" t="s">
        <v>284</v>
      </c>
      <c r="N4" s="4" t="s">
        <v>285</v>
      </c>
      <c r="O4" s="4" t="s">
        <v>284</v>
      </c>
      <c r="P4" s="4" t="s">
        <v>285</v>
      </c>
      <c r="Q4" s="4" t="s">
        <v>284</v>
      </c>
      <c r="R4" s="59" t="s">
        <v>285</v>
      </c>
    </row>
    <row r="5" spans="1:19" ht="15">
      <c r="A5" s="297" t="s">
        <v>309</v>
      </c>
      <c r="B5" s="298"/>
      <c r="C5" s="172" t="s">
        <v>496</v>
      </c>
      <c r="D5" s="9">
        <f>'Statistiques AFE 2009'!M137</f>
        <v>1161</v>
      </c>
      <c r="E5" s="9">
        <f>202+106</f>
        <v>308</v>
      </c>
      <c r="F5" s="57">
        <f>E5/D5</f>
        <v>0.2652885443583118</v>
      </c>
      <c r="G5" s="10">
        <f>122+13</f>
        <v>135</v>
      </c>
      <c r="H5" s="57">
        <f>G5/D5</f>
        <v>0.11627906976744186</v>
      </c>
      <c r="I5" s="10">
        <f>57+20</f>
        <v>77</v>
      </c>
      <c r="J5" s="57">
        <f>I5/D5</f>
        <v>0.06632213608957795</v>
      </c>
      <c r="K5" s="10">
        <f>68+13</f>
        <v>81</v>
      </c>
      <c r="L5" s="57">
        <f>K5/D5</f>
        <v>0.06976744186046512</v>
      </c>
      <c r="M5" s="10">
        <f>25+75</f>
        <v>100</v>
      </c>
      <c r="N5" s="57">
        <f>M5/D5</f>
        <v>0.08613264427217916</v>
      </c>
      <c r="O5" s="10">
        <f>97+31</f>
        <v>128</v>
      </c>
      <c r="P5" s="57">
        <f>O5/D5</f>
        <v>0.11024978466838932</v>
      </c>
      <c r="Q5" s="10">
        <f>174+158</f>
        <v>332</v>
      </c>
      <c r="R5" s="60">
        <f>Q5/D5</f>
        <v>0.2859603789836348</v>
      </c>
      <c r="S5" s="198"/>
    </row>
    <row r="6" spans="1:19" ht="15">
      <c r="A6" s="297" t="s">
        <v>310</v>
      </c>
      <c r="B6" s="298"/>
      <c r="C6" s="172">
        <v>16.56</v>
      </c>
      <c r="D6" s="9">
        <f>'Statistiques AFE 2009'!M138</f>
        <v>679</v>
      </c>
      <c r="E6" s="9">
        <v>127</v>
      </c>
      <c r="F6" s="57">
        <f>E6/D6</f>
        <v>0.187039764359352</v>
      </c>
      <c r="G6" s="10">
        <v>104</v>
      </c>
      <c r="H6" s="57">
        <f>G6/D6</f>
        <v>0.15316642120765833</v>
      </c>
      <c r="I6" s="10">
        <v>48</v>
      </c>
      <c r="J6" s="57">
        <f>I6/D6</f>
        <v>0.07069219440353461</v>
      </c>
      <c r="K6" s="10">
        <v>17</v>
      </c>
      <c r="L6" s="57">
        <f>K6/D6</f>
        <v>0.025036818851251842</v>
      </c>
      <c r="M6" s="10">
        <v>139</v>
      </c>
      <c r="N6" s="57">
        <f>M6/D6</f>
        <v>0.20471281296023564</v>
      </c>
      <c r="O6" s="10">
        <v>34</v>
      </c>
      <c r="P6" s="57">
        <f>O6/D6</f>
        <v>0.050073637702503684</v>
      </c>
      <c r="Q6" s="10">
        <v>210</v>
      </c>
      <c r="R6" s="60">
        <f>Q6/D6</f>
        <v>0.30927835051546393</v>
      </c>
      <c r="S6" s="198"/>
    </row>
    <row r="7" spans="1:19" ht="15.75" thickBot="1">
      <c r="A7" s="235" t="s">
        <v>286</v>
      </c>
      <c r="B7" s="236"/>
      <c r="C7" s="171">
        <v>18.56</v>
      </c>
      <c r="D7" s="11">
        <f>SUM(D5:D6)</f>
        <v>1840</v>
      </c>
      <c r="E7" s="11">
        <f>SUM(E5:E6)</f>
        <v>435</v>
      </c>
      <c r="F7" s="58">
        <f>E7/D7</f>
        <v>0.23641304347826086</v>
      </c>
      <c r="G7" s="12">
        <f>SUM(G5:G6)</f>
        <v>239</v>
      </c>
      <c r="H7" s="58">
        <f>G7/D7</f>
        <v>0.1298913043478261</v>
      </c>
      <c r="I7" s="12">
        <f>SUM(I5:I6)</f>
        <v>125</v>
      </c>
      <c r="J7" s="58">
        <f>I7/D7</f>
        <v>0.06793478260869565</v>
      </c>
      <c r="K7" s="12">
        <f>SUM(K5:K6)</f>
        <v>98</v>
      </c>
      <c r="L7" s="58">
        <f>K7/D7</f>
        <v>0.05326086956521739</v>
      </c>
      <c r="M7" s="12">
        <f>SUM(M5:M6)</f>
        <v>239</v>
      </c>
      <c r="N7" s="58">
        <f>M7/D7</f>
        <v>0.1298913043478261</v>
      </c>
      <c r="O7" s="12">
        <f>SUM(O5:O6)</f>
        <v>162</v>
      </c>
      <c r="P7" s="58">
        <f>O7/D7</f>
        <v>0.08804347826086957</v>
      </c>
      <c r="Q7" s="12">
        <f>SUM(Q5:Q6)</f>
        <v>542</v>
      </c>
      <c r="R7" s="61">
        <f>Q7/D7</f>
        <v>0.29456521739130437</v>
      </c>
      <c r="S7" s="198"/>
    </row>
    <row r="8" spans="1:15" ht="15.75" thickTop="1">
      <c r="A8" s="337" t="s">
        <v>287</v>
      </c>
      <c r="B8" s="337"/>
      <c r="G8" s="13"/>
      <c r="H8" s="322"/>
      <c r="I8" s="322"/>
      <c r="J8" s="322"/>
      <c r="K8" s="322"/>
      <c r="L8" s="322"/>
      <c r="M8" s="14"/>
      <c r="N8" s="14"/>
      <c r="O8" s="14"/>
    </row>
    <row r="9" spans="1:15" ht="15">
      <c r="A9" s="168"/>
      <c r="B9" s="19" t="s">
        <v>498</v>
      </c>
      <c r="C9" s="19"/>
      <c r="D9" s="19"/>
      <c r="E9" s="19"/>
      <c r="G9" s="13"/>
      <c r="H9" s="13"/>
      <c r="I9" s="13"/>
      <c r="J9" s="13"/>
      <c r="K9" s="13"/>
      <c r="L9" s="13"/>
      <c r="M9" s="14"/>
      <c r="N9" s="14"/>
      <c r="O9" s="14"/>
    </row>
    <row r="10" spans="1:15" ht="15">
      <c r="A10" s="168"/>
      <c r="B10" s="202" t="s">
        <v>499</v>
      </c>
      <c r="C10" s="202"/>
      <c r="D10" s="202"/>
      <c r="E10" s="202"/>
      <c r="G10" s="13"/>
      <c r="H10" s="13"/>
      <c r="I10" s="13"/>
      <c r="J10" s="13"/>
      <c r="K10" s="13"/>
      <c r="L10" s="13"/>
      <c r="M10" s="14"/>
      <c r="N10" s="14"/>
      <c r="O10" s="14"/>
    </row>
    <row r="11" spans="1:12" ht="15">
      <c r="A11" s="15"/>
      <c r="B11" s="202" t="s">
        <v>500</v>
      </c>
      <c r="C11" s="202"/>
      <c r="D11" s="202"/>
      <c r="E11" s="202"/>
      <c r="G11" s="13"/>
      <c r="H11" s="322"/>
      <c r="I11" s="322"/>
      <c r="J11" s="322"/>
      <c r="K11" s="322"/>
      <c r="L11" s="322"/>
    </row>
    <row r="12" spans="1:12" ht="15.75" thickBot="1">
      <c r="A12" s="15"/>
      <c r="B12" s="15"/>
      <c r="C12" s="15"/>
      <c r="D12" s="13"/>
      <c r="E12" s="13"/>
      <c r="F12" s="13"/>
      <c r="G12" s="13"/>
      <c r="H12" s="13"/>
      <c r="I12" s="13"/>
      <c r="J12" s="13"/>
      <c r="K12" s="13"/>
      <c r="L12" s="13"/>
    </row>
    <row r="13" spans="1:20" ht="15.75" thickTop="1">
      <c r="A13" s="63" t="s">
        <v>311</v>
      </c>
      <c r="B13" s="20"/>
      <c r="C13" s="20"/>
      <c r="D13" s="20"/>
      <c r="E13" s="20"/>
      <c r="F13" s="20"/>
      <c r="G13" s="20"/>
      <c r="H13" s="20"/>
      <c r="I13" s="20"/>
      <c r="J13" s="20"/>
      <c r="K13" s="20"/>
      <c r="L13" s="20"/>
      <c r="M13" s="20"/>
      <c r="N13" s="20"/>
      <c r="O13" s="20"/>
      <c r="P13" s="20"/>
      <c r="Q13" s="196"/>
      <c r="R13" s="199"/>
      <c r="S13" s="199"/>
      <c r="T13" s="197"/>
    </row>
    <row r="14" spans="1:20" ht="120.75" customHeight="1">
      <c r="A14" s="301" t="s">
        <v>202</v>
      </c>
      <c r="B14" s="231"/>
      <c r="C14" s="302" t="s">
        <v>497</v>
      </c>
      <c r="D14" s="271" t="s">
        <v>283</v>
      </c>
      <c r="E14" s="326" t="s">
        <v>522</v>
      </c>
      <c r="F14" s="330"/>
      <c r="G14" s="326" t="s">
        <v>523</v>
      </c>
      <c r="H14" s="330"/>
      <c r="I14" s="326" t="s">
        <v>524</v>
      </c>
      <c r="J14" s="330"/>
      <c r="K14" s="326" t="s">
        <v>525</v>
      </c>
      <c r="L14" s="330"/>
      <c r="M14" s="326" t="s">
        <v>526</v>
      </c>
      <c r="N14" s="330"/>
      <c r="O14" s="326" t="s">
        <v>527</v>
      </c>
      <c r="P14" s="330"/>
      <c r="Q14" s="326" t="s">
        <v>528</v>
      </c>
      <c r="R14" s="330"/>
      <c r="S14" s="326" t="s">
        <v>529</v>
      </c>
      <c r="T14" s="327"/>
    </row>
    <row r="15" spans="1:20" ht="25.5">
      <c r="A15" s="301"/>
      <c r="B15" s="231"/>
      <c r="C15" s="303"/>
      <c r="D15" s="271"/>
      <c r="E15" s="4" t="s">
        <v>284</v>
      </c>
      <c r="F15" s="26" t="s">
        <v>285</v>
      </c>
      <c r="G15" s="4" t="s">
        <v>284</v>
      </c>
      <c r="H15" s="4" t="s">
        <v>285</v>
      </c>
      <c r="I15" s="4" t="s">
        <v>284</v>
      </c>
      <c r="J15" s="4" t="s">
        <v>285</v>
      </c>
      <c r="K15" s="4" t="s">
        <v>284</v>
      </c>
      <c r="L15" s="4" t="s">
        <v>285</v>
      </c>
      <c r="M15" s="4" t="s">
        <v>284</v>
      </c>
      <c r="N15" s="4" t="s">
        <v>285</v>
      </c>
      <c r="O15" s="4" t="s">
        <v>284</v>
      </c>
      <c r="P15" s="4" t="s">
        <v>285</v>
      </c>
      <c r="Q15" s="4" t="s">
        <v>284</v>
      </c>
      <c r="R15" s="4" t="s">
        <v>285</v>
      </c>
      <c r="S15" s="4" t="s">
        <v>284</v>
      </c>
      <c r="T15" s="59" t="s">
        <v>285</v>
      </c>
    </row>
    <row r="16" spans="1:21" ht="15">
      <c r="A16" s="297" t="s">
        <v>312</v>
      </c>
      <c r="B16" s="298"/>
      <c r="C16" s="172">
        <v>17.58</v>
      </c>
      <c r="D16" s="9">
        <f>'Statistiques AFE 2009'!M150</f>
        <v>5180</v>
      </c>
      <c r="E16" s="9">
        <f>255+239+279+207+248+272+273+259+45</f>
        <v>2077</v>
      </c>
      <c r="F16" s="57">
        <f>E16/D16</f>
        <v>0.400965250965251</v>
      </c>
      <c r="G16" s="10">
        <f>38+33+28+20+27+41+29+33+11</f>
        <v>260</v>
      </c>
      <c r="H16" s="57">
        <f>G16/D16</f>
        <v>0.05019305019305019</v>
      </c>
      <c r="I16" s="10">
        <f>25+23+39+36+43+28+30+19+11</f>
        <v>254</v>
      </c>
      <c r="J16" s="57">
        <f>I16/D16</f>
        <v>0.04903474903474903</v>
      </c>
      <c r="K16" s="10">
        <f>42+43+63+68+44+42+65+46+15</f>
        <v>428</v>
      </c>
      <c r="L16" s="57">
        <f>K16/D16</f>
        <v>0.08262548262548262</v>
      </c>
      <c r="M16" s="10">
        <f>33+31+35+27+34+34+37+33+13</f>
        <v>277</v>
      </c>
      <c r="N16" s="57">
        <f>M16/D16</f>
        <v>0.053474903474903475</v>
      </c>
      <c r="O16" s="10">
        <f>39+39+36+45+34+43+37+38+13</f>
        <v>324</v>
      </c>
      <c r="P16" s="57">
        <f>O16/D16</f>
        <v>0.06254826254826255</v>
      </c>
      <c r="Q16" s="10">
        <f>137+166+148+131+116+157+146+116+51</f>
        <v>1168</v>
      </c>
      <c r="R16" s="57">
        <f>Q16/D16</f>
        <v>0.2254826254826255</v>
      </c>
      <c r="S16" s="10">
        <f>44+50+41+48+37+48+56+51+12</f>
        <v>387</v>
      </c>
      <c r="T16" s="60">
        <f>S16/D16</f>
        <v>0.07471042471042472</v>
      </c>
      <c r="U16" s="198"/>
    </row>
    <row r="17" spans="1:21" ht="15">
      <c r="A17" s="297" t="s">
        <v>313</v>
      </c>
      <c r="B17" s="298"/>
      <c r="C17" s="172">
        <v>16.67</v>
      </c>
      <c r="D17" s="9">
        <f>'Statistiques AFE 2009'!M153</f>
        <v>826</v>
      </c>
      <c r="E17" s="9">
        <f>228+191</f>
        <v>419</v>
      </c>
      <c r="F17" s="57">
        <f>E17/D17</f>
        <v>0.5072639225181598</v>
      </c>
      <c r="G17" s="10">
        <f>9+16</f>
        <v>25</v>
      </c>
      <c r="H17" s="57">
        <f>G17/D17</f>
        <v>0.03026634382566586</v>
      </c>
      <c r="I17" s="10">
        <f>24+13</f>
        <v>37</v>
      </c>
      <c r="J17" s="57">
        <f>I17/D17</f>
        <v>0.044794188861985475</v>
      </c>
      <c r="K17" s="10">
        <f>16+20</f>
        <v>36</v>
      </c>
      <c r="L17" s="57">
        <f>K17/D17</f>
        <v>0.043583535108958835</v>
      </c>
      <c r="M17" s="10">
        <f>32+19</f>
        <v>51</v>
      </c>
      <c r="N17" s="57">
        <f>M17/D17</f>
        <v>0.06174334140435835</v>
      </c>
      <c r="O17" s="10">
        <f>29+26</f>
        <v>55</v>
      </c>
      <c r="P17" s="57">
        <f>O17/D17</f>
        <v>0.06658595641646489</v>
      </c>
      <c r="Q17" s="10">
        <f>65+87</f>
        <v>152</v>
      </c>
      <c r="R17" s="57">
        <f>Q17/D17</f>
        <v>0.18401937046004843</v>
      </c>
      <c r="S17" s="10">
        <f>19+32</f>
        <v>51</v>
      </c>
      <c r="T17" s="60">
        <f>S17/D17</f>
        <v>0.06174334140435835</v>
      </c>
      <c r="U17" s="198"/>
    </row>
    <row r="18" spans="1:21" ht="15">
      <c r="A18" s="297" t="s">
        <v>314</v>
      </c>
      <c r="B18" s="298"/>
      <c r="C18" s="172">
        <v>18.44</v>
      </c>
      <c r="D18" s="9">
        <f>'Statistiques AFE 2009'!M154</f>
        <v>128</v>
      </c>
      <c r="E18" s="9">
        <v>47</v>
      </c>
      <c r="F18" s="57">
        <f>E18/D18</f>
        <v>0.3671875</v>
      </c>
      <c r="G18" s="10">
        <v>12</v>
      </c>
      <c r="H18" s="57">
        <f>G18/D18</f>
        <v>0.09375</v>
      </c>
      <c r="I18" s="10">
        <v>7</v>
      </c>
      <c r="J18" s="57">
        <f>I18/D18</f>
        <v>0.0546875</v>
      </c>
      <c r="K18" s="10">
        <v>0</v>
      </c>
      <c r="L18" s="57">
        <f>K18/D18</f>
        <v>0</v>
      </c>
      <c r="M18" s="10">
        <v>3</v>
      </c>
      <c r="N18" s="57">
        <f>M18/D18</f>
        <v>0.0234375</v>
      </c>
      <c r="O18" s="10">
        <v>11</v>
      </c>
      <c r="P18" s="57">
        <f>O18/D18</f>
        <v>0.0859375</v>
      </c>
      <c r="Q18" s="10">
        <v>37</v>
      </c>
      <c r="R18" s="57">
        <f>Q18/D18</f>
        <v>0.2890625</v>
      </c>
      <c r="S18" s="10">
        <v>11</v>
      </c>
      <c r="T18" s="60">
        <f>S18/D18</f>
        <v>0.0859375</v>
      </c>
      <c r="U18" s="198"/>
    </row>
    <row r="19" spans="1:21" ht="15.75" thickBot="1">
      <c r="A19" s="235" t="s">
        <v>286</v>
      </c>
      <c r="B19" s="236"/>
      <c r="C19" s="171">
        <v>17.46</v>
      </c>
      <c r="D19" s="11">
        <f>SUM(D16:D18)</f>
        <v>6134</v>
      </c>
      <c r="E19" s="11">
        <f>SUM(E16:E18)</f>
        <v>2543</v>
      </c>
      <c r="F19" s="58">
        <f>E19/$D$19</f>
        <v>0.41457450277143787</v>
      </c>
      <c r="G19" s="12">
        <f>SUM(G16:G18)</f>
        <v>297</v>
      </c>
      <c r="H19" s="58">
        <f>G19/$D$19</f>
        <v>0.04841865014672318</v>
      </c>
      <c r="I19" s="12">
        <f>SUM(I16:I18)</f>
        <v>298</v>
      </c>
      <c r="J19" s="58">
        <f>I19/$D$19</f>
        <v>0.04858167590479296</v>
      </c>
      <c r="K19" s="12">
        <f>SUM(K16:K18)</f>
        <v>464</v>
      </c>
      <c r="L19" s="58">
        <f>K19/$D$19</f>
        <v>0.07564395174437562</v>
      </c>
      <c r="M19" s="12">
        <f>SUM(M16:M18)</f>
        <v>331</v>
      </c>
      <c r="N19" s="58">
        <f>M19/$D$19</f>
        <v>0.053961525921095536</v>
      </c>
      <c r="O19" s="12">
        <f>SUM(O16:O18)</f>
        <v>390</v>
      </c>
      <c r="P19" s="58">
        <f>O19/$D$19</f>
        <v>0.06358004564721226</v>
      </c>
      <c r="Q19" s="12">
        <f>SUM(Q16:Q18)</f>
        <v>1357</v>
      </c>
      <c r="R19" s="58">
        <f>Q19/$D$19</f>
        <v>0.2212259537006847</v>
      </c>
      <c r="S19" s="12">
        <f>SUM(S16:S18)</f>
        <v>449</v>
      </c>
      <c r="T19" s="61">
        <f>S19/$D$19</f>
        <v>0.07319856537332899</v>
      </c>
      <c r="U19" s="198"/>
    </row>
    <row r="20" spans="1:16" ht="15.75" thickTop="1">
      <c r="A20" s="296" t="s">
        <v>287</v>
      </c>
      <c r="B20" s="296"/>
      <c r="C20" s="136"/>
      <c r="D20" s="16"/>
      <c r="E20" s="199"/>
      <c r="F20" s="199"/>
      <c r="G20" s="199"/>
      <c r="H20" s="199"/>
      <c r="I20" s="199"/>
      <c r="J20" s="199"/>
      <c r="K20" s="199"/>
      <c r="L20" s="199"/>
      <c r="M20" s="199"/>
      <c r="N20" s="199"/>
      <c r="O20" s="199"/>
      <c r="P20" s="199"/>
    </row>
    <row r="21" spans="2:16" ht="15">
      <c r="B21" s="24" t="s">
        <v>501</v>
      </c>
      <c r="D21" s="19"/>
      <c r="E21" s="13"/>
      <c r="F21" s="13"/>
      <c r="G21" s="13"/>
      <c r="H21" s="322"/>
      <c r="I21" s="322"/>
      <c r="J21" s="322"/>
      <c r="K21" s="322"/>
      <c r="L21" s="322"/>
      <c r="M21" s="200"/>
      <c r="N21" s="200"/>
      <c r="O21" s="200"/>
      <c r="P21" s="200"/>
    </row>
    <row r="22" spans="2:16" ht="15">
      <c r="B22" s="24" t="s">
        <v>502</v>
      </c>
      <c r="D22" s="19"/>
      <c r="E22" s="13"/>
      <c r="F22" s="13"/>
      <c r="G22" s="13"/>
      <c r="H22" s="13"/>
      <c r="I22" s="13"/>
      <c r="J22" s="13"/>
      <c r="K22" s="13"/>
      <c r="L22" s="13"/>
      <c r="M22" s="200"/>
      <c r="N22" s="200"/>
      <c r="O22" s="200"/>
      <c r="P22" s="200"/>
    </row>
    <row r="23" spans="2:16" ht="15">
      <c r="B23" s="24" t="s">
        <v>503</v>
      </c>
      <c r="D23" s="19"/>
      <c r="E23" s="13"/>
      <c r="F23" s="13"/>
      <c r="G23" s="13"/>
      <c r="H23" s="13"/>
      <c r="I23" s="13"/>
      <c r="J23" s="13"/>
      <c r="K23" s="13"/>
      <c r="L23" s="13"/>
      <c r="M23" s="200"/>
      <c r="N23" s="200"/>
      <c r="O23" s="200"/>
      <c r="P23" s="200"/>
    </row>
    <row r="24" spans="2:16" ht="15">
      <c r="B24" s="24" t="s">
        <v>504</v>
      </c>
      <c r="D24" s="19"/>
      <c r="E24" s="13"/>
      <c r="F24" s="13"/>
      <c r="G24" s="13"/>
      <c r="H24" s="13"/>
      <c r="I24" s="13"/>
      <c r="J24" s="13"/>
      <c r="K24" s="13"/>
      <c r="L24" s="13"/>
      <c r="M24" s="200"/>
      <c r="N24" s="200"/>
      <c r="O24" s="200"/>
      <c r="P24" s="200"/>
    </row>
    <row r="25" spans="2:16" ht="15">
      <c r="B25" s="24" t="s">
        <v>505</v>
      </c>
      <c r="D25" s="19"/>
      <c r="E25" s="19"/>
      <c r="F25" s="19"/>
      <c r="G25" s="19"/>
      <c r="H25" s="321"/>
      <c r="I25" s="321"/>
      <c r="J25" s="321"/>
      <c r="K25" s="321"/>
      <c r="L25" s="321"/>
      <c r="M25" s="321"/>
      <c r="N25" s="321"/>
      <c r="O25" s="321"/>
      <c r="P25" s="321"/>
    </row>
    <row r="26" spans="4:16" ht="15.75" thickBot="1">
      <c r="D26" s="19"/>
      <c r="E26" s="19"/>
      <c r="F26" s="19"/>
      <c r="G26" s="19"/>
      <c r="H26" s="321"/>
      <c r="I26" s="321"/>
      <c r="J26" s="321"/>
      <c r="K26" s="321"/>
      <c r="L26" s="321"/>
      <c r="M26" s="321"/>
      <c r="N26" s="321"/>
      <c r="O26" s="200"/>
      <c r="P26" s="200"/>
    </row>
    <row r="27" spans="1:16" ht="15.75" thickTop="1">
      <c r="A27" s="63" t="s">
        <v>315</v>
      </c>
      <c r="B27" s="20"/>
      <c r="C27" s="20"/>
      <c r="D27" s="20"/>
      <c r="E27" s="20"/>
      <c r="F27" s="20"/>
      <c r="G27" s="20"/>
      <c r="H27" s="20"/>
      <c r="I27" s="20"/>
      <c r="J27" s="20"/>
      <c r="K27" s="20"/>
      <c r="L27" s="20"/>
      <c r="M27" s="20"/>
      <c r="N27" s="20"/>
      <c r="O27" s="20"/>
      <c r="P27" s="21"/>
    </row>
    <row r="28" spans="1:16" ht="71.25" customHeight="1">
      <c r="A28" s="301" t="s">
        <v>202</v>
      </c>
      <c r="B28" s="231"/>
      <c r="C28" s="302" t="s">
        <v>497</v>
      </c>
      <c r="D28" s="271" t="s">
        <v>283</v>
      </c>
      <c r="E28" s="232" t="s">
        <v>530</v>
      </c>
      <c r="F28" s="282"/>
      <c r="G28" s="232" t="s">
        <v>531</v>
      </c>
      <c r="H28" s="282"/>
      <c r="I28" s="232" t="s">
        <v>532</v>
      </c>
      <c r="J28" s="282"/>
      <c r="K28" s="232" t="s">
        <v>533</v>
      </c>
      <c r="L28" s="282"/>
      <c r="M28" s="232" t="s">
        <v>534</v>
      </c>
      <c r="N28" s="282"/>
      <c r="O28" s="232" t="s">
        <v>506</v>
      </c>
      <c r="P28" s="234"/>
    </row>
    <row r="29" spans="1:16" ht="25.5">
      <c r="A29" s="301"/>
      <c r="B29" s="231"/>
      <c r="C29" s="303"/>
      <c r="D29" s="271"/>
      <c r="E29" s="4" t="s">
        <v>284</v>
      </c>
      <c r="F29" s="26" t="s">
        <v>285</v>
      </c>
      <c r="G29" s="4" t="s">
        <v>284</v>
      </c>
      <c r="H29" s="4" t="s">
        <v>285</v>
      </c>
      <c r="I29" s="4" t="s">
        <v>284</v>
      </c>
      <c r="J29" s="4" t="s">
        <v>285</v>
      </c>
      <c r="K29" s="4" t="s">
        <v>284</v>
      </c>
      <c r="L29" s="4" t="s">
        <v>285</v>
      </c>
      <c r="M29" s="4" t="s">
        <v>284</v>
      </c>
      <c r="N29" s="4" t="s">
        <v>285</v>
      </c>
      <c r="O29" s="4" t="s">
        <v>284</v>
      </c>
      <c r="P29" s="59" t="s">
        <v>285</v>
      </c>
    </row>
    <row r="30" spans="1:17" ht="15">
      <c r="A30" s="297" t="s">
        <v>316</v>
      </c>
      <c r="B30" s="298"/>
      <c r="C30" s="172">
        <v>12.83</v>
      </c>
      <c r="D30" s="9">
        <f>'Statistiques AFE 2009'!M157</f>
        <v>991</v>
      </c>
      <c r="E30" s="201">
        <v>316</v>
      </c>
      <c r="F30" s="57">
        <f>E30/D30</f>
        <v>0.31886982845610495</v>
      </c>
      <c r="G30" s="201">
        <v>99</v>
      </c>
      <c r="H30" s="57">
        <f>G30/D30</f>
        <v>0.09989909182643794</v>
      </c>
      <c r="I30" s="201">
        <v>63</v>
      </c>
      <c r="J30" s="57">
        <f>I30/D30</f>
        <v>0.06357214934409687</v>
      </c>
      <c r="K30" s="201">
        <v>317</v>
      </c>
      <c r="L30" s="57">
        <f>K30/D30</f>
        <v>0.31987891019172554</v>
      </c>
      <c r="M30" s="201">
        <v>103</v>
      </c>
      <c r="N30" s="57">
        <f>M30/D30</f>
        <v>0.10393541876892028</v>
      </c>
      <c r="O30" s="201">
        <v>93</v>
      </c>
      <c r="P30" s="60">
        <f>M30/D30</f>
        <v>0.10393541876892028</v>
      </c>
      <c r="Q30" s="198"/>
    </row>
    <row r="31" spans="1:17" ht="15">
      <c r="A31" s="299" t="s">
        <v>317</v>
      </c>
      <c r="B31" s="300"/>
      <c r="C31" s="173">
        <v>10.79</v>
      </c>
      <c r="D31" s="9">
        <f>'Statistiques AFE 2009'!M158</f>
        <v>269</v>
      </c>
      <c r="E31" s="201">
        <v>62</v>
      </c>
      <c r="F31" s="57">
        <f>E31/D31</f>
        <v>0.23048327137546468</v>
      </c>
      <c r="G31" s="201">
        <v>78</v>
      </c>
      <c r="H31" s="57">
        <f>G31/D31</f>
        <v>0.2899628252788104</v>
      </c>
      <c r="I31" s="201">
        <v>16</v>
      </c>
      <c r="J31" s="57">
        <f>I31/D31</f>
        <v>0.05947955390334572</v>
      </c>
      <c r="K31" s="201">
        <v>42</v>
      </c>
      <c r="L31" s="57">
        <f>K31/D31</f>
        <v>0.15613382899628253</v>
      </c>
      <c r="M31" s="201">
        <v>47</v>
      </c>
      <c r="N31" s="57">
        <f>M31/D31</f>
        <v>0.17472118959107807</v>
      </c>
      <c r="O31" s="201">
        <v>24</v>
      </c>
      <c r="P31" s="60">
        <f>O31/D31</f>
        <v>0.08921933085501858</v>
      </c>
      <c r="Q31" s="198"/>
    </row>
    <row r="32" spans="1:17" ht="15">
      <c r="A32" s="299" t="s">
        <v>318</v>
      </c>
      <c r="B32" s="300"/>
      <c r="C32" s="173">
        <v>10.41</v>
      </c>
      <c r="D32" s="9">
        <f>'Statistiques AFE 2009'!M159</f>
        <v>443</v>
      </c>
      <c r="E32" s="201">
        <v>125</v>
      </c>
      <c r="F32" s="57">
        <f>E32/D32</f>
        <v>0.28216704288939054</v>
      </c>
      <c r="G32" s="201">
        <v>37</v>
      </c>
      <c r="H32" s="57">
        <f>G32/D32</f>
        <v>0.0835214446952596</v>
      </c>
      <c r="I32" s="201">
        <v>25</v>
      </c>
      <c r="J32" s="57">
        <f>I32/D32</f>
        <v>0.056433408577878104</v>
      </c>
      <c r="K32" s="201">
        <v>151</v>
      </c>
      <c r="L32" s="57">
        <f>K32/D32</f>
        <v>0.34085778781038373</v>
      </c>
      <c r="M32" s="201">
        <v>68</v>
      </c>
      <c r="N32" s="57">
        <f>M32/D32</f>
        <v>0.15349887133182843</v>
      </c>
      <c r="O32" s="201">
        <v>38</v>
      </c>
      <c r="P32" s="60">
        <f>O32/D32</f>
        <v>0.08577878103837472</v>
      </c>
      <c r="Q32" s="198"/>
    </row>
    <row r="33" spans="1:17" ht="15">
      <c r="A33" s="297" t="s">
        <v>319</v>
      </c>
      <c r="B33" s="298"/>
      <c r="C33" s="172">
        <v>12.6</v>
      </c>
      <c r="D33" s="9">
        <f>'Statistiques AFE 2009'!M160</f>
        <v>771</v>
      </c>
      <c r="E33" s="201">
        <v>436</v>
      </c>
      <c r="F33" s="57">
        <f>E33/D33</f>
        <v>0.5654993514915694</v>
      </c>
      <c r="G33" s="201">
        <v>49</v>
      </c>
      <c r="H33" s="57">
        <f>G33/D33</f>
        <v>0.06355382619974059</v>
      </c>
      <c r="I33" s="201">
        <v>45</v>
      </c>
      <c r="J33" s="57">
        <f>I33/D33</f>
        <v>0.058365758754863814</v>
      </c>
      <c r="K33" s="201">
        <v>93</v>
      </c>
      <c r="L33" s="57">
        <f>K33/D33</f>
        <v>0.12062256809338522</v>
      </c>
      <c r="M33" s="201">
        <v>80</v>
      </c>
      <c r="N33" s="57">
        <f>M33/D33</f>
        <v>0.10376134889753567</v>
      </c>
      <c r="O33" s="201">
        <v>68</v>
      </c>
      <c r="P33" s="60">
        <f>O33/D33</f>
        <v>0.08819714656290532</v>
      </c>
      <c r="Q33" s="198"/>
    </row>
    <row r="34" spans="1:17" ht="15">
      <c r="A34" s="297" t="s">
        <v>320</v>
      </c>
      <c r="B34" s="298"/>
      <c r="C34" s="172">
        <v>11.73</v>
      </c>
      <c r="D34" s="9">
        <f>'Statistiques AFE 2009'!M163</f>
        <v>2038</v>
      </c>
      <c r="E34" s="9">
        <v>565</v>
      </c>
      <c r="F34" s="57">
        <f>E34/D34</f>
        <v>0.2772325809617272</v>
      </c>
      <c r="G34" s="10">
        <v>175</v>
      </c>
      <c r="H34" s="57">
        <f>G34/D34</f>
        <v>0.0858684985279686</v>
      </c>
      <c r="I34" s="10">
        <v>206</v>
      </c>
      <c r="J34" s="57">
        <f>I34/D34</f>
        <v>0.10107948969578018</v>
      </c>
      <c r="K34" s="10">
        <v>506</v>
      </c>
      <c r="L34" s="57">
        <f>K34/D34</f>
        <v>0.24828263002944062</v>
      </c>
      <c r="M34" s="10">
        <v>330</v>
      </c>
      <c r="N34" s="57">
        <f>M34/D34</f>
        <v>0.1619234543670265</v>
      </c>
      <c r="O34" s="10">
        <v>255</v>
      </c>
      <c r="P34" s="60">
        <f>O34/D34</f>
        <v>0.12512266928361138</v>
      </c>
      <c r="Q34" s="198"/>
    </row>
    <row r="35" spans="1:17" ht="15.75" thickBot="1">
      <c r="A35" s="235" t="s">
        <v>286</v>
      </c>
      <c r="B35" s="236"/>
      <c r="C35" s="171">
        <v>11.89</v>
      </c>
      <c r="D35" s="11">
        <f>SUM(D30:D34)</f>
        <v>4512</v>
      </c>
      <c r="E35" s="11">
        <f>SUM(E30:E34)</f>
        <v>1504</v>
      </c>
      <c r="F35" s="58">
        <f>E35/$D$35</f>
        <v>0.3333333333333333</v>
      </c>
      <c r="G35" s="12">
        <f>SUM(G30:G34)</f>
        <v>438</v>
      </c>
      <c r="H35" s="58">
        <f>G35/$D$35</f>
        <v>0.09707446808510638</v>
      </c>
      <c r="I35" s="12">
        <f>SUM(I30:I34)</f>
        <v>355</v>
      </c>
      <c r="J35" s="58">
        <f>I35/$D$35</f>
        <v>0.0786790780141844</v>
      </c>
      <c r="K35" s="12">
        <f>SUM(K30:K34)</f>
        <v>1109</v>
      </c>
      <c r="L35" s="58">
        <f>K35/$D$35</f>
        <v>0.24578900709219859</v>
      </c>
      <c r="M35" s="12">
        <f>SUM(M30:M34)</f>
        <v>628</v>
      </c>
      <c r="N35" s="58">
        <f>M35/$D$35</f>
        <v>0.13918439716312056</v>
      </c>
      <c r="O35" s="12">
        <f>SUM(O30:O34)</f>
        <v>478</v>
      </c>
      <c r="P35" s="61">
        <f>O35/$D$35</f>
        <v>0.10593971631205673</v>
      </c>
      <c r="Q35" s="198"/>
    </row>
    <row r="36" spans="1:16" ht="15.75" thickTop="1">
      <c r="A36" s="296" t="s">
        <v>287</v>
      </c>
      <c r="B36" s="296"/>
      <c r="C36" s="136"/>
      <c r="D36" s="16"/>
      <c r="E36" s="199"/>
      <c r="F36" s="199"/>
      <c r="G36" s="199"/>
      <c r="H36" s="199"/>
      <c r="I36" s="199"/>
      <c r="J36" s="199"/>
      <c r="K36" s="199"/>
      <c r="L36" s="199"/>
      <c r="M36" s="199"/>
      <c r="N36" s="199"/>
      <c r="O36" s="199"/>
      <c r="P36" s="199"/>
    </row>
    <row r="37" spans="1:16" ht="15">
      <c r="A37" s="64"/>
      <c r="B37" s="304" t="s">
        <v>507</v>
      </c>
      <c r="C37" s="304"/>
      <c r="D37" s="304"/>
      <c r="E37" s="304"/>
      <c r="F37" s="186"/>
      <c r="H37" s="186"/>
      <c r="I37" s="186"/>
      <c r="J37" s="186"/>
      <c r="K37" s="186"/>
      <c r="L37" s="186"/>
      <c r="M37" s="186"/>
      <c r="N37" s="186"/>
      <c r="O37" s="186"/>
      <c r="P37" s="186"/>
    </row>
    <row r="38" spans="1:16" ht="15">
      <c r="A38" s="64"/>
      <c r="B38" s="304" t="s">
        <v>508</v>
      </c>
      <c r="C38" s="304"/>
      <c r="D38" s="304"/>
      <c r="E38" s="304"/>
      <c r="F38" s="304"/>
      <c r="H38" s="186"/>
      <c r="I38" s="186"/>
      <c r="J38" s="186"/>
      <c r="K38" s="186"/>
      <c r="L38" s="186"/>
      <c r="M38" s="186"/>
      <c r="N38" s="186"/>
      <c r="O38" s="186"/>
      <c r="P38" s="186"/>
    </row>
    <row r="39" spans="1:16" ht="15">
      <c r="A39" s="64"/>
      <c r="B39" s="304" t="s">
        <v>509</v>
      </c>
      <c r="C39" s="304"/>
      <c r="D39" s="304"/>
      <c r="E39" s="304"/>
      <c r="F39" s="186"/>
      <c r="H39" s="186"/>
      <c r="I39" s="186"/>
      <c r="J39" s="186"/>
      <c r="K39" s="186"/>
      <c r="L39" s="186"/>
      <c r="M39" s="186"/>
      <c r="N39" s="186"/>
      <c r="O39" s="186"/>
      <c r="P39" s="186"/>
    </row>
    <row r="40" spans="2:16" ht="15">
      <c r="B40" s="338" t="s">
        <v>510</v>
      </c>
      <c r="C40" s="338"/>
      <c r="D40" s="338"/>
      <c r="E40" s="185"/>
      <c r="F40" s="185"/>
      <c r="H40" s="332"/>
      <c r="I40" s="332"/>
      <c r="J40" s="332"/>
      <c r="K40" s="332"/>
      <c r="L40" s="332"/>
      <c r="M40" s="186"/>
      <c r="N40" s="186"/>
      <c r="O40" s="186"/>
      <c r="P40" s="186"/>
    </row>
    <row r="41" spans="2:16" ht="15">
      <c r="B41" s="202" t="s">
        <v>511</v>
      </c>
      <c r="C41" s="202"/>
      <c r="D41" s="202"/>
      <c r="E41" s="202"/>
      <c r="F41" s="186"/>
      <c r="H41" s="333"/>
      <c r="I41" s="333"/>
      <c r="J41" s="333"/>
      <c r="K41" s="333"/>
      <c r="L41" s="333"/>
      <c r="M41" s="333"/>
      <c r="N41" s="333"/>
      <c r="O41" s="333"/>
      <c r="P41" s="333"/>
    </row>
    <row r="42" spans="4:16" ht="15.75" thickBot="1">
      <c r="D42" s="19"/>
      <c r="E42" s="19"/>
      <c r="F42" s="19"/>
      <c r="G42" s="19"/>
      <c r="H42" s="321"/>
      <c r="I42" s="321"/>
      <c r="J42" s="321"/>
      <c r="K42" s="321"/>
      <c r="L42" s="321"/>
      <c r="M42" s="321"/>
      <c r="N42" s="321"/>
      <c r="O42" s="200"/>
      <c r="P42" s="200"/>
    </row>
    <row r="43" spans="1:12" ht="15.75" thickTop="1">
      <c r="A43" s="63" t="s">
        <v>321</v>
      </c>
      <c r="B43" s="20"/>
      <c r="C43" s="20"/>
      <c r="D43" s="20"/>
      <c r="E43" s="20"/>
      <c r="F43" s="20"/>
      <c r="G43" s="20"/>
      <c r="H43" s="20"/>
      <c r="I43" s="20"/>
      <c r="J43" s="20"/>
      <c r="K43" s="20"/>
      <c r="L43" s="21"/>
    </row>
    <row r="44" spans="1:12" ht="72" customHeight="1">
      <c r="A44" s="301" t="s">
        <v>202</v>
      </c>
      <c r="B44" s="231"/>
      <c r="C44" s="302" t="s">
        <v>497</v>
      </c>
      <c r="D44" s="271" t="s">
        <v>283</v>
      </c>
      <c r="E44" s="232" t="s">
        <v>535</v>
      </c>
      <c r="F44" s="282"/>
      <c r="G44" s="232" t="s">
        <v>536</v>
      </c>
      <c r="H44" s="282"/>
      <c r="I44" s="232" t="s">
        <v>537</v>
      </c>
      <c r="J44" s="282"/>
      <c r="K44" s="232" t="s">
        <v>538</v>
      </c>
      <c r="L44" s="234"/>
    </row>
    <row r="45" spans="1:12" ht="25.5">
      <c r="A45" s="301"/>
      <c r="B45" s="231"/>
      <c r="C45" s="303"/>
      <c r="D45" s="271"/>
      <c r="E45" s="4" t="s">
        <v>284</v>
      </c>
      <c r="F45" s="26" t="s">
        <v>285</v>
      </c>
      <c r="G45" s="4" t="s">
        <v>284</v>
      </c>
      <c r="H45" s="4" t="s">
        <v>285</v>
      </c>
      <c r="I45" s="4" t="s">
        <v>284</v>
      </c>
      <c r="J45" s="4" t="s">
        <v>285</v>
      </c>
      <c r="K45" s="4" t="s">
        <v>284</v>
      </c>
      <c r="L45" s="59" t="s">
        <v>285</v>
      </c>
    </row>
    <row r="46" spans="1:13" ht="15">
      <c r="A46" s="297" t="s">
        <v>322</v>
      </c>
      <c r="B46" s="298"/>
      <c r="C46" s="172">
        <v>12.9</v>
      </c>
      <c r="D46" s="9">
        <f>'Statistiques AFE 2009'!M173</f>
        <v>1452</v>
      </c>
      <c r="E46" s="9">
        <v>343</v>
      </c>
      <c r="F46" s="57">
        <f>E46/D46</f>
        <v>0.2362258953168044</v>
      </c>
      <c r="G46" s="10">
        <v>556</v>
      </c>
      <c r="H46" s="57">
        <f>G46/D46</f>
        <v>0.38292011019283745</v>
      </c>
      <c r="I46" s="10">
        <v>203</v>
      </c>
      <c r="J46" s="57">
        <f>I46/D46</f>
        <v>0.13980716253443526</v>
      </c>
      <c r="K46" s="10">
        <v>350</v>
      </c>
      <c r="L46" s="57">
        <f>K46/D46</f>
        <v>0.24104683195592286</v>
      </c>
      <c r="M46" s="198"/>
    </row>
    <row r="47" spans="1:13" ht="15">
      <c r="A47" s="297" t="s">
        <v>323</v>
      </c>
      <c r="B47" s="298"/>
      <c r="C47" s="172">
        <v>10.13</v>
      </c>
      <c r="D47" s="9">
        <f>'Statistiques AFE 2009'!M174</f>
        <v>1133</v>
      </c>
      <c r="E47" s="9">
        <v>314</v>
      </c>
      <c r="F47" s="57">
        <f>E47/D47</f>
        <v>0.27714033539276256</v>
      </c>
      <c r="G47" s="10">
        <v>256</v>
      </c>
      <c r="H47" s="57">
        <f>G47/D47</f>
        <v>0.22594880847308033</v>
      </c>
      <c r="I47" s="10">
        <v>374</v>
      </c>
      <c r="J47" s="57">
        <f>I47/D47</f>
        <v>0.3300970873786408</v>
      </c>
      <c r="K47" s="10">
        <v>189</v>
      </c>
      <c r="L47" s="57">
        <f>K47/D47</f>
        <v>0.16681376875551632</v>
      </c>
      <c r="M47" s="198"/>
    </row>
    <row r="48" spans="1:16" ht="15.75" thickBot="1">
      <c r="A48" s="235" t="s">
        <v>286</v>
      </c>
      <c r="B48" s="236"/>
      <c r="C48" s="171">
        <v>11.51</v>
      </c>
      <c r="D48" s="11">
        <f>SUM(D46:D47)</f>
        <v>2585</v>
      </c>
      <c r="E48" s="11">
        <f>SUM(E46:E47)</f>
        <v>657</v>
      </c>
      <c r="F48" s="58">
        <f>E48/D48</f>
        <v>0.2541586073500967</v>
      </c>
      <c r="G48" s="12">
        <f>SUM(G46:G47)</f>
        <v>812</v>
      </c>
      <c r="H48" s="58">
        <f>G48/D48</f>
        <v>0.31411992263056093</v>
      </c>
      <c r="I48" s="12">
        <f>SUM(I46:I47)</f>
        <v>577</v>
      </c>
      <c r="J48" s="58">
        <f>I48/D48</f>
        <v>0.22321083172147002</v>
      </c>
      <c r="K48" s="12">
        <f>SUM(K46:K47)</f>
        <v>539</v>
      </c>
      <c r="L48" s="61">
        <f>K48/D48</f>
        <v>0.20851063829787234</v>
      </c>
      <c r="M48" s="198"/>
      <c r="N48" s="200"/>
      <c r="O48" s="200"/>
      <c r="P48" s="200"/>
    </row>
    <row r="49" spans="1:16" ht="15.75" thickTop="1">
      <c r="A49" s="296" t="s">
        <v>287</v>
      </c>
      <c r="B49" s="296"/>
      <c r="C49" s="136"/>
      <c r="D49" s="16"/>
      <c r="E49" s="199"/>
      <c r="F49" s="199"/>
      <c r="G49" s="199"/>
      <c r="H49" s="199"/>
      <c r="I49" s="199"/>
      <c r="J49" s="199"/>
      <c r="K49" s="199"/>
      <c r="L49" s="199"/>
      <c r="M49" s="200"/>
      <c r="N49" s="200"/>
      <c r="O49" s="200"/>
      <c r="P49" s="200"/>
    </row>
    <row r="50" spans="1:16" ht="15" customHeight="1">
      <c r="A50" s="64"/>
      <c r="B50" s="203" t="s">
        <v>667</v>
      </c>
      <c r="C50" s="187"/>
      <c r="D50" s="187"/>
      <c r="E50" s="202"/>
      <c r="F50" s="204"/>
      <c r="G50" s="205"/>
      <c r="H50" s="205"/>
      <c r="I50" s="205"/>
      <c r="J50" s="205"/>
      <c r="K50" s="205"/>
      <c r="L50" s="200"/>
      <c r="M50" s="200"/>
      <c r="N50" s="200"/>
      <c r="O50" s="200"/>
      <c r="P50" s="200"/>
    </row>
    <row r="51" spans="1:16" ht="15" customHeight="1">
      <c r="A51" s="64"/>
      <c r="B51" s="342" t="s">
        <v>512</v>
      </c>
      <c r="C51" s="342"/>
      <c r="D51" s="342"/>
      <c r="E51" s="342"/>
      <c r="F51" s="203"/>
      <c r="G51" s="205"/>
      <c r="H51" s="205"/>
      <c r="I51" s="205"/>
      <c r="J51" s="205"/>
      <c r="K51" s="205"/>
      <c r="L51" s="200"/>
      <c r="M51" s="200"/>
      <c r="N51" s="200"/>
      <c r="O51" s="200"/>
      <c r="P51" s="200"/>
    </row>
    <row r="52" spans="1:16" ht="15" customHeight="1">
      <c r="A52" s="64"/>
      <c r="B52" s="342" t="s">
        <v>513</v>
      </c>
      <c r="C52" s="342"/>
      <c r="D52" s="342"/>
      <c r="E52" s="342"/>
      <c r="F52" s="203"/>
      <c r="G52" s="205"/>
      <c r="H52" s="205"/>
      <c r="I52" s="205"/>
      <c r="J52" s="205"/>
      <c r="K52" s="205"/>
      <c r="L52" s="200"/>
      <c r="M52" s="200"/>
      <c r="N52" s="200"/>
      <c r="O52" s="200"/>
      <c r="P52" s="200"/>
    </row>
    <row r="53" spans="1:16" ht="15">
      <c r="A53" s="64"/>
      <c r="B53" s="342" t="s">
        <v>514</v>
      </c>
      <c r="C53" s="342"/>
      <c r="D53" s="342"/>
      <c r="E53" s="202"/>
      <c r="F53" s="203"/>
      <c r="G53" s="205"/>
      <c r="H53" s="205"/>
      <c r="I53" s="205"/>
      <c r="J53" s="205"/>
      <c r="K53" s="205"/>
      <c r="L53" s="200"/>
      <c r="M53" s="200"/>
      <c r="N53" s="200"/>
      <c r="O53" s="200"/>
      <c r="P53" s="200"/>
    </row>
    <row r="54" spans="4:16" ht="15.75" thickBot="1">
      <c r="D54" s="19"/>
      <c r="E54" s="13"/>
      <c r="F54" s="13"/>
      <c r="G54" s="13"/>
      <c r="H54" s="322"/>
      <c r="I54" s="322"/>
      <c r="J54" s="322"/>
      <c r="K54" s="322"/>
      <c r="L54" s="322"/>
      <c r="M54" s="200"/>
      <c r="N54" s="200"/>
      <c r="O54" s="200"/>
      <c r="P54" s="200"/>
    </row>
    <row r="55" spans="1:10" ht="15.75" thickTop="1">
      <c r="A55" s="63" t="s">
        <v>324</v>
      </c>
      <c r="B55" s="20"/>
      <c r="C55" s="20"/>
      <c r="D55" s="20"/>
      <c r="E55" s="20"/>
      <c r="F55" s="20"/>
      <c r="G55" s="20"/>
      <c r="H55" s="20"/>
      <c r="I55" s="20"/>
      <c r="J55" s="21"/>
    </row>
    <row r="56" spans="1:10" ht="50.25" customHeight="1">
      <c r="A56" s="301" t="s">
        <v>202</v>
      </c>
      <c r="B56" s="231"/>
      <c r="C56" s="302" t="s">
        <v>497</v>
      </c>
      <c r="D56" s="271" t="s">
        <v>283</v>
      </c>
      <c r="E56" s="232" t="s">
        <v>539</v>
      </c>
      <c r="F56" s="282"/>
      <c r="G56" s="232" t="s">
        <v>540</v>
      </c>
      <c r="H56" s="282"/>
      <c r="I56" s="232" t="s">
        <v>515</v>
      </c>
      <c r="J56" s="234"/>
    </row>
    <row r="57" spans="1:10" ht="25.5">
      <c r="A57" s="301"/>
      <c r="B57" s="231"/>
      <c r="C57" s="303"/>
      <c r="D57" s="271"/>
      <c r="E57" s="4" t="s">
        <v>284</v>
      </c>
      <c r="F57" s="26" t="s">
        <v>285</v>
      </c>
      <c r="G57" s="4" t="s">
        <v>284</v>
      </c>
      <c r="H57" s="4" t="s">
        <v>285</v>
      </c>
      <c r="I57" s="4" t="s">
        <v>284</v>
      </c>
      <c r="J57" s="59" t="s">
        <v>285</v>
      </c>
    </row>
    <row r="58" spans="1:11" ht="15">
      <c r="A58" s="297" t="s">
        <v>325</v>
      </c>
      <c r="B58" s="298"/>
      <c r="C58" s="172">
        <v>16.86</v>
      </c>
      <c r="D58" s="9">
        <f>'Statistiques AFE 2009'!M177</f>
        <v>145</v>
      </c>
      <c r="E58" s="9">
        <v>56</v>
      </c>
      <c r="F58" s="57">
        <f aca="true" t="shared" si="0" ref="F58:F63">E58/D58</f>
        <v>0.38620689655172413</v>
      </c>
      <c r="G58" s="10">
        <v>75</v>
      </c>
      <c r="H58" s="57">
        <f aca="true" t="shared" si="1" ref="H58:H63">G58/D58</f>
        <v>0.5172413793103449</v>
      </c>
      <c r="I58" s="10">
        <v>14</v>
      </c>
      <c r="J58" s="60">
        <f>I58/D58</f>
        <v>0.09655172413793103</v>
      </c>
      <c r="K58" s="198"/>
    </row>
    <row r="59" spans="1:11" ht="15">
      <c r="A59" s="7" t="s">
        <v>326</v>
      </c>
      <c r="B59" s="8"/>
      <c r="C59" s="172">
        <v>13.08</v>
      </c>
      <c r="D59" s="9">
        <f>'Statistiques AFE 2009'!M178</f>
        <v>148</v>
      </c>
      <c r="E59" s="9">
        <v>106</v>
      </c>
      <c r="F59" s="57">
        <f t="shared" si="0"/>
        <v>0.7162162162162162</v>
      </c>
      <c r="G59" s="10">
        <v>36</v>
      </c>
      <c r="H59" s="57">
        <f t="shared" si="1"/>
        <v>0.24324324324324326</v>
      </c>
      <c r="I59" s="10">
        <v>6</v>
      </c>
      <c r="J59" s="60">
        <f>I59/D59</f>
        <v>0.04054054054054054</v>
      </c>
      <c r="K59" s="198"/>
    </row>
    <row r="60" spans="1:11" ht="15">
      <c r="A60" s="7" t="s">
        <v>327</v>
      </c>
      <c r="B60" s="8"/>
      <c r="C60" s="172">
        <v>16.99</v>
      </c>
      <c r="D60" s="9">
        <f>'Statistiques AFE 2009'!M179</f>
        <v>817</v>
      </c>
      <c r="E60" s="9">
        <v>516</v>
      </c>
      <c r="F60" s="57">
        <f t="shared" si="0"/>
        <v>0.631578947368421</v>
      </c>
      <c r="G60" s="10">
        <v>241</v>
      </c>
      <c r="H60" s="57">
        <f t="shared" si="1"/>
        <v>0.29498164014687883</v>
      </c>
      <c r="I60" s="10">
        <v>60</v>
      </c>
      <c r="J60" s="60">
        <f>I60/D60</f>
        <v>0.07343941248470012</v>
      </c>
      <c r="K60" s="198"/>
    </row>
    <row r="61" spans="1:11" ht="15">
      <c r="A61" s="297" t="s">
        <v>328</v>
      </c>
      <c r="B61" s="298"/>
      <c r="C61" s="172">
        <v>15.05</v>
      </c>
      <c r="D61" s="9">
        <f>'Statistiques AFE 2009'!M182</f>
        <v>690</v>
      </c>
      <c r="E61" s="9">
        <f>218+215</f>
        <v>433</v>
      </c>
      <c r="F61" s="57">
        <f t="shared" si="0"/>
        <v>0.6275362318840579</v>
      </c>
      <c r="G61" s="10">
        <f>76+56</f>
        <v>132</v>
      </c>
      <c r="H61" s="57">
        <f t="shared" si="1"/>
        <v>0.19130434782608696</v>
      </c>
      <c r="I61" s="10">
        <f>66+59</f>
        <v>125</v>
      </c>
      <c r="J61" s="60">
        <f>I61/D61</f>
        <v>0.18115942028985507</v>
      </c>
      <c r="K61" s="198"/>
    </row>
    <row r="62" spans="1:11" ht="15">
      <c r="A62" s="297" t="s">
        <v>329</v>
      </c>
      <c r="B62" s="298"/>
      <c r="C62" s="172">
        <v>27.61</v>
      </c>
      <c r="D62" s="9">
        <f>'Statistiques AFE 2009'!M183</f>
        <v>36</v>
      </c>
      <c r="E62" s="9">
        <v>33</v>
      </c>
      <c r="F62" s="57">
        <f t="shared" si="0"/>
        <v>0.9166666666666666</v>
      </c>
      <c r="G62" s="10">
        <v>3</v>
      </c>
      <c r="H62" s="57">
        <f t="shared" si="1"/>
        <v>0.08333333333333333</v>
      </c>
      <c r="I62" s="10">
        <v>0</v>
      </c>
      <c r="J62" s="60">
        <f>I62/D61</f>
        <v>0</v>
      </c>
      <c r="K62" s="198"/>
    </row>
    <row r="63" spans="1:11" ht="15.75" thickBot="1">
      <c r="A63" s="235" t="s">
        <v>286</v>
      </c>
      <c r="B63" s="236"/>
      <c r="C63" s="171">
        <v>15.94</v>
      </c>
      <c r="D63" s="11">
        <f>SUM(D58:D62)</f>
        <v>1836</v>
      </c>
      <c r="E63" s="11">
        <f>SUM(E58:E62)</f>
        <v>1144</v>
      </c>
      <c r="F63" s="58">
        <f t="shared" si="0"/>
        <v>0.6230936819172114</v>
      </c>
      <c r="G63" s="12">
        <f>SUM(G58:G62)</f>
        <v>487</v>
      </c>
      <c r="H63" s="58">
        <f t="shared" si="1"/>
        <v>0.26525054466230935</v>
      </c>
      <c r="I63" s="12">
        <f>SUM(I58:I62)</f>
        <v>205</v>
      </c>
      <c r="J63" s="61">
        <f>I63/D63</f>
        <v>0.1116557734204793</v>
      </c>
      <c r="K63" s="198"/>
    </row>
    <row r="64" spans="1:10" ht="15.75" thickTop="1">
      <c r="A64" s="296" t="s">
        <v>287</v>
      </c>
      <c r="B64" s="296"/>
      <c r="C64" s="136"/>
      <c r="D64" s="16"/>
      <c r="E64" s="199"/>
      <c r="F64" s="199"/>
      <c r="G64" s="199"/>
      <c r="H64" s="199"/>
      <c r="I64" s="199"/>
      <c r="J64" s="199"/>
    </row>
    <row r="65" spans="2:16" ht="15">
      <c r="B65" s="24" t="s">
        <v>594</v>
      </c>
      <c r="D65" s="19"/>
      <c r="E65" s="13"/>
      <c r="F65" s="13"/>
      <c r="G65" s="13"/>
      <c r="H65" s="322"/>
      <c r="I65" s="322"/>
      <c r="J65" s="322"/>
      <c r="K65" s="322"/>
      <c r="L65" s="322"/>
      <c r="M65" s="200"/>
      <c r="N65" s="200"/>
      <c r="O65" s="200"/>
      <c r="P65" s="200"/>
    </row>
    <row r="66" spans="2:16" ht="15">
      <c r="B66" s="24" t="s">
        <v>595</v>
      </c>
      <c r="D66" s="19"/>
      <c r="E66" s="19"/>
      <c r="F66" s="19"/>
      <c r="G66" s="19"/>
      <c r="H66" s="321"/>
      <c r="I66" s="321"/>
      <c r="J66" s="321"/>
      <c r="K66" s="321"/>
      <c r="L66" s="321"/>
      <c r="M66" s="321"/>
      <c r="N66" s="321"/>
      <c r="O66" s="321"/>
      <c r="P66" s="321"/>
    </row>
    <row r="67" spans="2:16" ht="15">
      <c r="B67" s="24" t="s">
        <v>596</v>
      </c>
      <c r="D67" s="19"/>
      <c r="E67" s="19"/>
      <c r="F67" s="19"/>
      <c r="G67" s="19"/>
      <c r="H67" s="321"/>
      <c r="I67" s="321"/>
      <c r="J67" s="321"/>
      <c r="K67" s="321"/>
      <c r="L67" s="321"/>
      <c r="M67" s="321"/>
      <c r="N67" s="321"/>
      <c r="O67" s="200"/>
      <c r="P67" s="200"/>
    </row>
    <row r="68" spans="4:16" ht="15.75" thickBot="1">
      <c r="D68" s="19"/>
      <c r="E68" s="19"/>
      <c r="F68" s="19"/>
      <c r="G68" s="19"/>
      <c r="H68" s="19"/>
      <c r="I68" s="19"/>
      <c r="J68" s="19"/>
      <c r="K68" s="19"/>
      <c r="L68" s="19"/>
      <c r="M68" s="19"/>
      <c r="N68" s="19"/>
      <c r="O68" s="200"/>
      <c r="P68" s="200"/>
    </row>
    <row r="69" spans="1:12" ht="15.75" thickTop="1">
      <c r="A69" s="63" t="s">
        <v>330</v>
      </c>
      <c r="B69" s="20"/>
      <c r="C69" s="20"/>
      <c r="D69" s="20"/>
      <c r="E69" s="20"/>
      <c r="F69" s="20"/>
      <c r="G69" s="20"/>
      <c r="H69" s="20"/>
      <c r="I69" s="20"/>
      <c r="J69" s="20"/>
      <c r="K69" s="20"/>
      <c r="L69" s="21"/>
    </row>
    <row r="70" spans="1:12" ht="75" customHeight="1">
      <c r="A70" s="301" t="s">
        <v>202</v>
      </c>
      <c r="B70" s="231"/>
      <c r="C70" s="302" t="s">
        <v>497</v>
      </c>
      <c r="D70" s="271" t="s">
        <v>283</v>
      </c>
      <c r="E70" s="326" t="s">
        <v>541</v>
      </c>
      <c r="F70" s="330"/>
      <c r="G70" s="326" t="s">
        <v>542</v>
      </c>
      <c r="H70" s="330"/>
      <c r="I70" s="326" t="s">
        <v>543</v>
      </c>
      <c r="J70" s="330"/>
      <c r="K70" s="326" t="s">
        <v>544</v>
      </c>
      <c r="L70" s="327"/>
    </row>
    <row r="71" spans="1:12" ht="25.5">
      <c r="A71" s="301"/>
      <c r="B71" s="231"/>
      <c r="C71" s="303"/>
      <c r="D71" s="271"/>
      <c r="E71" s="4" t="s">
        <v>284</v>
      </c>
      <c r="F71" s="26" t="s">
        <v>285</v>
      </c>
      <c r="G71" s="4" t="s">
        <v>284</v>
      </c>
      <c r="H71" s="4" t="s">
        <v>285</v>
      </c>
      <c r="I71" s="4" t="s">
        <v>284</v>
      </c>
      <c r="J71" s="4" t="s">
        <v>285</v>
      </c>
      <c r="K71" s="4" t="s">
        <v>284</v>
      </c>
      <c r="L71" s="59" t="s">
        <v>285</v>
      </c>
    </row>
    <row r="72" spans="1:13" ht="15">
      <c r="A72" s="297" t="s">
        <v>331</v>
      </c>
      <c r="B72" s="298"/>
      <c r="C72" s="172">
        <v>24.55</v>
      </c>
      <c r="D72" s="9">
        <f>'Statistiques AFE 2009'!M188</f>
        <v>2519</v>
      </c>
      <c r="E72" s="9">
        <v>20</v>
      </c>
      <c r="F72" s="57">
        <f>E72/D72</f>
        <v>0.007939658594680429</v>
      </c>
      <c r="G72" s="10">
        <v>1127</v>
      </c>
      <c r="H72" s="57">
        <f>G72/D72</f>
        <v>0.44739976181024216</v>
      </c>
      <c r="I72" s="10">
        <v>961</v>
      </c>
      <c r="J72" s="57">
        <f>I72/D72</f>
        <v>0.3815005954743946</v>
      </c>
      <c r="K72" s="10">
        <v>411</v>
      </c>
      <c r="L72" s="60">
        <f>K72/D72</f>
        <v>0.1631599841206828</v>
      </c>
      <c r="M72" s="198"/>
    </row>
    <row r="73" spans="1:13" ht="15">
      <c r="A73" s="7" t="s">
        <v>332</v>
      </c>
      <c r="B73" s="8"/>
      <c r="C73" s="172">
        <v>36.35</v>
      </c>
      <c r="D73" s="9">
        <f>'Statistiques AFE 2009'!M189</f>
        <v>296</v>
      </c>
      <c r="E73" s="9">
        <v>10</v>
      </c>
      <c r="F73" s="57">
        <f>E73/D73</f>
        <v>0.033783783783783786</v>
      </c>
      <c r="G73" s="206">
        <v>143</v>
      </c>
      <c r="H73" s="57">
        <f>G73/D73</f>
        <v>0.4831081081081081</v>
      </c>
      <c r="I73" s="201">
        <v>34</v>
      </c>
      <c r="J73" s="57">
        <f>I73/D73</f>
        <v>0.11486486486486487</v>
      </c>
      <c r="K73" s="201">
        <v>109</v>
      </c>
      <c r="L73" s="60">
        <f>K73/D73</f>
        <v>0.36824324324324326</v>
      </c>
      <c r="M73" s="198"/>
    </row>
    <row r="74" spans="1:13" ht="15">
      <c r="A74" s="297" t="s">
        <v>333</v>
      </c>
      <c r="B74" s="298"/>
      <c r="C74" s="172">
        <v>31.84</v>
      </c>
      <c r="D74" s="9">
        <f>'Statistiques AFE 2009'!M190</f>
        <v>587</v>
      </c>
      <c r="E74" s="9">
        <v>16</v>
      </c>
      <c r="F74" s="57">
        <f>E74/D74</f>
        <v>0.027257240204429302</v>
      </c>
      <c r="G74" s="206">
        <v>291</v>
      </c>
      <c r="H74" s="57">
        <f>G74/D74</f>
        <v>0.4957410562180579</v>
      </c>
      <c r="I74" s="201">
        <v>189</v>
      </c>
      <c r="J74" s="57">
        <f>I74/D74</f>
        <v>0.3219761499148211</v>
      </c>
      <c r="K74" s="201">
        <v>91</v>
      </c>
      <c r="L74" s="60">
        <f>K74/D74</f>
        <v>0.15502555366269166</v>
      </c>
      <c r="M74" s="198"/>
    </row>
    <row r="75" spans="1:13" ht="15">
      <c r="A75" s="297" t="s">
        <v>334</v>
      </c>
      <c r="B75" s="298"/>
      <c r="C75" s="172">
        <v>21.04</v>
      </c>
      <c r="D75" s="9">
        <f>'Statistiques AFE 2009'!M194</f>
        <v>1511</v>
      </c>
      <c r="E75" s="9">
        <v>63</v>
      </c>
      <c r="F75" s="57">
        <f>E75/D75</f>
        <v>0.04169424222369292</v>
      </c>
      <c r="G75" s="10">
        <v>165</v>
      </c>
      <c r="H75" s="57">
        <f>G75/D75</f>
        <v>0.10919920582395765</v>
      </c>
      <c r="I75" s="10">
        <v>289</v>
      </c>
      <c r="J75" s="57">
        <f>I75/D75</f>
        <v>0.1912640635340834</v>
      </c>
      <c r="K75" s="10">
        <v>994</v>
      </c>
      <c r="L75" s="60">
        <f>K75/D75</f>
        <v>0.6578424884182661</v>
      </c>
      <c r="M75" s="198"/>
    </row>
    <row r="76" spans="1:13" ht="15.75" thickBot="1">
      <c r="A76" s="235" t="s">
        <v>286</v>
      </c>
      <c r="B76" s="236"/>
      <c r="C76" s="171">
        <v>24.41</v>
      </c>
      <c r="D76" s="11">
        <f>SUM(D72:D75)</f>
        <v>4913</v>
      </c>
      <c r="E76" s="11">
        <f>SUM(E72:E75)</f>
        <v>109</v>
      </c>
      <c r="F76" s="58">
        <f>E76/D76</f>
        <v>0.022186037044575616</v>
      </c>
      <c r="G76" s="12">
        <f>SUM(G72:G75)</f>
        <v>1726</v>
      </c>
      <c r="H76" s="58">
        <f>G76/D76</f>
        <v>0.35131284347649094</v>
      </c>
      <c r="I76" s="12">
        <f>SUM(I72:I75)</f>
        <v>1473</v>
      </c>
      <c r="J76" s="58">
        <f>I76/D76</f>
        <v>0.29981681253816406</v>
      </c>
      <c r="K76" s="12">
        <f>SUM(K72:K75)</f>
        <v>1605</v>
      </c>
      <c r="L76" s="61">
        <f>K76/D76</f>
        <v>0.3266843069407694</v>
      </c>
      <c r="M76" s="198"/>
    </row>
    <row r="77" spans="1:12" ht="15.75" thickTop="1">
      <c r="A77" s="296" t="s">
        <v>287</v>
      </c>
      <c r="B77" s="296"/>
      <c r="C77" s="136"/>
      <c r="D77" s="16"/>
      <c r="E77" s="199"/>
      <c r="F77" s="199"/>
      <c r="G77" s="199"/>
      <c r="H77" s="199"/>
      <c r="I77" s="199"/>
      <c r="J77" s="199"/>
      <c r="K77" s="199"/>
      <c r="L77" s="199"/>
    </row>
    <row r="78" spans="1:11" ht="15">
      <c r="A78" s="64"/>
      <c r="B78" s="304" t="s">
        <v>597</v>
      </c>
      <c r="C78" s="304"/>
      <c r="D78" s="304"/>
      <c r="E78" s="304"/>
      <c r="F78" s="186"/>
      <c r="G78" s="186"/>
      <c r="H78" s="186"/>
      <c r="I78" s="186"/>
      <c r="J78" s="186"/>
      <c r="K78" s="186"/>
    </row>
    <row r="79" spans="1:11" ht="15">
      <c r="A79" s="64"/>
      <c r="B79" s="304" t="s">
        <v>598</v>
      </c>
      <c r="C79" s="304"/>
      <c r="D79" s="304"/>
      <c r="E79" s="304"/>
      <c r="F79" s="304"/>
      <c r="G79" s="304"/>
      <c r="H79" s="186"/>
      <c r="I79" s="186"/>
      <c r="J79" s="186"/>
      <c r="K79" s="186"/>
    </row>
    <row r="80" spans="2:16" ht="15">
      <c r="B80" s="338" t="s">
        <v>599</v>
      </c>
      <c r="C80" s="338"/>
      <c r="D80" s="185"/>
      <c r="E80" s="185"/>
      <c r="F80" s="185"/>
      <c r="G80" s="185"/>
      <c r="H80" s="13"/>
      <c r="I80" s="13"/>
      <c r="J80" s="13"/>
      <c r="K80" s="13"/>
      <c r="M80" s="200"/>
      <c r="N80" s="200"/>
      <c r="O80" s="200"/>
      <c r="P80" s="200"/>
    </row>
    <row r="81" spans="4:16" ht="15">
      <c r="D81" s="19"/>
      <c r="E81" s="19"/>
      <c r="F81" s="19"/>
      <c r="G81" s="19"/>
      <c r="H81" s="321"/>
      <c r="I81" s="321"/>
      <c r="J81" s="321"/>
      <c r="K81" s="321"/>
      <c r="L81" s="321"/>
      <c r="M81" s="321"/>
      <c r="N81" s="321"/>
      <c r="O81" s="321"/>
      <c r="P81" s="321"/>
    </row>
    <row r="82" spans="4:16" ht="15.75" thickBot="1">
      <c r="D82" s="19"/>
      <c r="E82" s="19"/>
      <c r="F82" s="19"/>
      <c r="G82" s="19"/>
      <c r="H82" s="321"/>
      <c r="I82" s="321"/>
      <c r="J82" s="321"/>
      <c r="K82" s="321"/>
      <c r="L82" s="321"/>
      <c r="M82" s="321"/>
      <c r="N82" s="321"/>
      <c r="O82" s="200"/>
      <c r="P82" s="200"/>
    </row>
    <row r="83" spans="1:12" ht="15.75" thickTop="1">
      <c r="A83" s="63" t="s">
        <v>335</v>
      </c>
      <c r="B83" s="20"/>
      <c r="C83" s="20"/>
      <c r="D83" s="20"/>
      <c r="E83" s="20"/>
      <c r="F83" s="20"/>
      <c r="G83" s="20"/>
      <c r="H83" s="20"/>
      <c r="I83" s="20"/>
      <c r="J83" s="20"/>
      <c r="K83" s="20"/>
      <c r="L83" s="21"/>
    </row>
    <row r="84" spans="1:12" ht="67.5" customHeight="1">
      <c r="A84" s="301" t="s">
        <v>202</v>
      </c>
      <c r="B84" s="231"/>
      <c r="C84" s="302" t="s">
        <v>497</v>
      </c>
      <c r="D84" s="271" t="s">
        <v>283</v>
      </c>
      <c r="E84" s="326" t="s">
        <v>545</v>
      </c>
      <c r="F84" s="330"/>
      <c r="G84" s="326" t="s">
        <v>546</v>
      </c>
      <c r="H84" s="330"/>
      <c r="I84" s="326" t="s">
        <v>547</v>
      </c>
      <c r="J84" s="330"/>
      <c r="K84" s="326" t="s">
        <v>548</v>
      </c>
      <c r="L84" s="327"/>
    </row>
    <row r="85" spans="1:12" ht="25.5">
      <c r="A85" s="301"/>
      <c r="B85" s="231"/>
      <c r="C85" s="303"/>
      <c r="D85" s="271"/>
      <c r="E85" s="4" t="s">
        <v>284</v>
      </c>
      <c r="F85" s="26" t="s">
        <v>285</v>
      </c>
      <c r="G85" s="4" t="s">
        <v>284</v>
      </c>
      <c r="H85" s="4" t="s">
        <v>285</v>
      </c>
      <c r="I85" s="4" t="s">
        <v>284</v>
      </c>
      <c r="J85" s="4" t="s">
        <v>285</v>
      </c>
      <c r="K85" s="4" t="s">
        <v>284</v>
      </c>
      <c r="L85" s="59" t="s">
        <v>285</v>
      </c>
    </row>
    <row r="86" spans="1:13" ht="15">
      <c r="A86" s="297" t="s">
        <v>336</v>
      </c>
      <c r="B86" s="298"/>
      <c r="C86" s="172">
        <v>16.98</v>
      </c>
      <c r="D86" s="9">
        <f>'Statistiques AFE 2009'!M197</f>
        <v>698</v>
      </c>
      <c r="E86" s="201">
        <v>102</v>
      </c>
      <c r="F86" s="57">
        <f aca="true" t="shared" si="2" ref="F86:F91">E86/D86</f>
        <v>0.14613180515759314</v>
      </c>
      <c r="G86" s="201">
        <v>536</v>
      </c>
      <c r="H86" s="57">
        <f aca="true" t="shared" si="3" ref="H86:H91">G86/D86</f>
        <v>0.7679083094555874</v>
      </c>
      <c r="I86" s="201">
        <v>20</v>
      </c>
      <c r="J86" s="57">
        <f aca="true" t="shared" si="4" ref="J86:J91">I86/D86</f>
        <v>0.02865329512893983</v>
      </c>
      <c r="K86" s="201">
        <v>41</v>
      </c>
      <c r="L86" s="60">
        <f aca="true" t="shared" si="5" ref="L86:L91">K86/D86</f>
        <v>0.05873925501432665</v>
      </c>
      <c r="M86" s="198"/>
    </row>
    <row r="87" spans="1:13" ht="15">
      <c r="A87" s="7" t="s">
        <v>337</v>
      </c>
      <c r="B87" s="8"/>
      <c r="C87" s="172">
        <v>25.29</v>
      </c>
      <c r="D87" s="9">
        <f>'Statistiques AFE 2009'!M198</f>
        <v>591</v>
      </c>
      <c r="E87" s="201">
        <v>135</v>
      </c>
      <c r="F87" s="57">
        <f t="shared" si="2"/>
        <v>0.22842639593908629</v>
      </c>
      <c r="G87" s="201">
        <v>185</v>
      </c>
      <c r="H87" s="57">
        <f t="shared" si="3"/>
        <v>0.3130287648054145</v>
      </c>
      <c r="I87" s="201">
        <v>49</v>
      </c>
      <c r="J87" s="57">
        <f t="shared" si="4"/>
        <v>0.0829103214890017</v>
      </c>
      <c r="K87" s="201">
        <v>222</v>
      </c>
      <c r="L87" s="60">
        <f t="shared" si="5"/>
        <v>0.3756345177664975</v>
      </c>
      <c r="M87" s="198"/>
    </row>
    <row r="88" spans="1:13" ht="15">
      <c r="A88" s="299" t="s">
        <v>338</v>
      </c>
      <c r="B88" s="300"/>
      <c r="C88" s="173">
        <v>21.85</v>
      </c>
      <c r="D88" s="9">
        <f>'Statistiques AFE 2009'!M199</f>
        <v>243</v>
      </c>
      <c r="E88" s="201">
        <v>74</v>
      </c>
      <c r="F88" s="57">
        <f t="shared" si="2"/>
        <v>0.3045267489711934</v>
      </c>
      <c r="G88" s="201">
        <v>104</v>
      </c>
      <c r="H88" s="57">
        <f t="shared" si="3"/>
        <v>0.4279835390946502</v>
      </c>
      <c r="I88" s="201">
        <v>6</v>
      </c>
      <c r="J88" s="57">
        <f t="shared" si="4"/>
        <v>0.024691358024691357</v>
      </c>
      <c r="K88" s="201">
        <v>59</v>
      </c>
      <c r="L88" s="60">
        <f t="shared" si="5"/>
        <v>0.24279835390946503</v>
      </c>
      <c r="M88" s="198"/>
    </row>
    <row r="89" spans="1:13" ht="15">
      <c r="A89" s="297" t="s">
        <v>339</v>
      </c>
      <c r="B89" s="298"/>
      <c r="C89" s="172">
        <v>17.93</v>
      </c>
      <c r="D89" s="9">
        <f>'Statistiques AFE 2009'!M200</f>
        <v>369</v>
      </c>
      <c r="E89" s="201">
        <v>110</v>
      </c>
      <c r="F89" s="57">
        <f t="shared" si="2"/>
        <v>0.2981029810298103</v>
      </c>
      <c r="G89" s="201">
        <v>157</v>
      </c>
      <c r="H89" s="57">
        <f t="shared" si="3"/>
        <v>0.4254742547425474</v>
      </c>
      <c r="I89" s="201">
        <v>4</v>
      </c>
      <c r="J89" s="57">
        <f t="shared" si="4"/>
        <v>0.01084010840108401</v>
      </c>
      <c r="K89" s="201">
        <v>98</v>
      </c>
      <c r="L89" s="60">
        <f t="shared" si="5"/>
        <v>0.26558265582655827</v>
      </c>
      <c r="M89" s="198"/>
    </row>
    <row r="90" spans="1:13" ht="15">
      <c r="A90" s="297" t="s">
        <v>340</v>
      </c>
      <c r="B90" s="298"/>
      <c r="C90" s="172">
        <v>24.86</v>
      </c>
      <c r="D90" s="9">
        <f>'Statistiques AFE 2009'!M201</f>
        <v>167</v>
      </c>
      <c r="E90" s="201">
        <v>73</v>
      </c>
      <c r="F90" s="57">
        <f t="shared" si="2"/>
        <v>0.437125748502994</v>
      </c>
      <c r="G90" s="201">
        <v>56</v>
      </c>
      <c r="H90" s="57">
        <f t="shared" si="3"/>
        <v>0.33532934131736525</v>
      </c>
      <c r="I90" s="201">
        <v>3</v>
      </c>
      <c r="J90" s="57">
        <f t="shared" si="4"/>
        <v>0.017964071856287425</v>
      </c>
      <c r="K90" s="201">
        <v>35</v>
      </c>
      <c r="L90" s="60">
        <f t="shared" si="5"/>
        <v>0.20958083832335328</v>
      </c>
      <c r="M90" s="198"/>
    </row>
    <row r="91" spans="1:13" s="208" customFormat="1" ht="13.5" thickBot="1">
      <c r="A91" s="235" t="s">
        <v>286</v>
      </c>
      <c r="B91" s="236"/>
      <c r="C91" s="171">
        <v>20.13</v>
      </c>
      <c r="D91" s="11">
        <f>SUM(D86:D90)</f>
        <v>2068</v>
      </c>
      <c r="E91" s="11">
        <f>SUM(E86:E90)</f>
        <v>494</v>
      </c>
      <c r="F91" s="98">
        <f t="shared" si="2"/>
        <v>0.23887814313346228</v>
      </c>
      <c r="G91" s="12">
        <f>SUM(G86:G90)</f>
        <v>1038</v>
      </c>
      <c r="H91" s="98">
        <f t="shared" si="3"/>
        <v>0.5019342359767892</v>
      </c>
      <c r="I91" s="12">
        <f>SUM(I86:I90)</f>
        <v>82</v>
      </c>
      <c r="J91" s="98">
        <f t="shared" si="4"/>
        <v>0.039651837524177946</v>
      </c>
      <c r="K91" s="12">
        <f>SUM(K86:K90)</f>
        <v>455</v>
      </c>
      <c r="L91" s="99">
        <f t="shared" si="5"/>
        <v>0.2200193423597679</v>
      </c>
      <c r="M91" s="207"/>
    </row>
    <row r="92" spans="1:12" ht="15.75" thickTop="1">
      <c r="A92" s="296" t="s">
        <v>287</v>
      </c>
      <c r="B92" s="296"/>
      <c r="C92" s="136"/>
      <c r="D92" s="16"/>
      <c r="E92" s="199"/>
      <c r="F92" s="199"/>
      <c r="G92" s="199"/>
      <c r="H92" s="199"/>
      <c r="I92" s="199"/>
      <c r="J92" s="199"/>
      <c r="K92" s="199"/>
      <c r="L92" s="199"/>
    </row>
    <row r="93" spans="2:16" ht="15">
      <c r="B93" s="24" t="s">
        <v>600</v>
      </c>
      <c r="C93" s="19"/>
      <c r="D93" s="13"/>
      <c r="E93" s="13"/>
      <c r="G93" s="13"/>
      <c r="H93" s="322"/>
      <c r="I93" s="322"/>
      <c r="J93" s="322"/>
      <c r="K93" s="322"/>
      <c r="L93" s="322"/>
      <c r="M93" s="200"/>
      <c r="N93" s="200"/>
      <c r="O93" s="200"/>
      <c r="P93" s="200"/>
    </row>
    <row r="94" spans="2:16" ht="15">
      <c r="B94" s="24" t="s">
        <v>601</v>
      </c>
      <c r="C94" s="19"/>
      <c r="D94" s="19"/>
      <c r="E94" s="19"/>
      <c r="G94" s="19"/>
      <c r="H94" s="321"/>
      <c r="I94" s="321"/>
      <c r="J94" s="321"/>
      <c r="K94" s="321"/>
      <c r="L94" s="321"/>
      <c r="M94" s="321"/>
      <c r="N94" s="321"/>
      <c r="O94" s="321"/>
      <c r="P94" s="321"/>
    </row>
    <row r="95" spans="2:16" ht="15">
      <c r="B95" s="24" t="s">
        <v>602</v>
      </c>
      <c r="C95" s="19"/>
      <c r="D95" s="19"/>
      <c r="E95" s="19"/>
      <c r="G95" s="19"/>
      <c r="H95" s="321"/>
      <c r="I95" s="321"/>
      <c r="J95" s="321"/>
      <c r="K95" s="321"/>
      <c r="L95" s="321"/>
      <c r="M95" s="321"/>
      <c r="N95" s="321"/>
      <c r="O95" s="200"/>
      <c r="P95" s="200"/>
    </row>
    <row r="96" spans="4:16" ht="15.75" thickBot="1">
      <c r="D96" s="19"/>
      <c r="E96" s="19"/>
      <c r="F96" s="19"/>
      <c r="G96" s="19"/>
      <c r="H96" s="19"/>
      <c r="I96" s="19"/>
      <c r="J96" s="19"/>
      <c r="K96" s="19"/>
      <c r="L96" s="19"/>
      <c r="M96" s="19"/>
      <c r="N96" s="19"/>
      <c r="O96" s="200"/>
      <c r="P96" s="200"/>
    </row>
    <row r="97" spans="1:12" ht="15.75" thickTop="1">
      <c r="A97" s="63" t="s">
        <v>341</v>
      </c>
      <c r="B97" s="20"/>
      <c r="C97" s="20"/>
      <c r="D97" s="20"/>
      <c r="E97" s="20"/>
      <c r="F97" s="20"/>
      <c r="G97" s="20"/>
      <c r="H97" s="20"/>
      <c r="I97" s="20"/>
      <c r="J97" s="20"/>
      <c r="K97" s="20"/>
      <c r="L97" s="21"/>
    </row>
    <row r="98" spans="1:12" ht="73.5" customHeight="1">
      <c r="A98" s="301" t="s">
        <v>202</v>
      </c>
      <c r="B98" s="231"/>
      <c r="C98" s="302" t="s">
        <v>497</v>
      </c>
      <c r="D98" s="271" t="s">
        <v>283</v>
      </c>
      <c r="E98" s="232" t="s">
        <v>549</v>
      </c>
      <c r="F98" s="282"/>
      <c r="G98" s="232" t="s">
        <v>550</v>
      </c>
      <c r="H98" s="282"/>
      <c r="I98" s="232" t="s">
        <v>551</v>
      </c>
      <c r="J98" s="282"/>
      <c r="K98" s="232" t="s">
        <v>552</v>
      </c>
      <c r="L98" s="234"/>
    </row>
    <row r="99" spans="1:12" ht="25.5">
      <c r="A99" s="301"/>
      <c r="B99" s="231"/>
      <c r="C99" s="303"/>
      <c r="D99" s="271"/>
      <c r="E99" s="4" t="s">
        <v>284</v>
      </c>
      <c r="F99" s="26" t="s">
        <v>285</v>
      </c>
      <c r="G99" s="4" t="s">
        <v>284</v>
      </c>
      <c r="H99" s="4" t="s">
        <v>285</v>
      </c>
      <c r="I99" s="4" t="s">
        <v>284</v>
      </c>
      <c r="J99" s="4" t="s">
        <v>285</v>
      </c>
      <c r="K99" s="4" t="s">
        <v>284</v>
      </c>
      <c r="L99" s="59" t="s">
        <v>285</v>
      </c>
    </row>
    <row r="100" spans="1:13" ht="15">
      <c r="A100" s="297" t="s">
        <v>342</v>
      </c>
      <c r="B100" s="298"/>
      <c r="C100" s="172">
        <v>22.68</v>
      </c>
      <c r="D100" s="9">
        <f>'Statistiques AFE 2009'!M208</f>
        <v>2526</v>
      </c>
      <c r="E100" s="9">
        <f>120+115+121+119</f>
        <v>475</v>
      </c>
      <c r="F100" s="57">
        <f aca="true" t="shared" si="6" ref="F100:F107">E100/D100</f>
        <v>0.1880443388756928</v>
      </c>
      <c r="G100" s="10">
        <f>138+155+115+144</f>
        <v>552</v>
      </c>
      <c r="H100" s="57">
        <f aca="true" t="shared" si="7" ref="H100:H107">G100/D100</f>
        <v>0.21852731591448932</v>
      </c>
      <c r="I100" s="10">
        <f>307+342+360+365</f>
        <v>1374</v>
      </c>
      <c r="J100" s="57">
        <f aca="true" t="shared" si="8" ref="J100:J107">I100/D100</f>
        <v>0.5439429928741093</v>
      </c>
      <c r="K100" s="10">
        <f>15+34+42+34</f>
        <v>125</v>
      </c>
      <c r="L100" s="60">
        <f aca="true" t="shared" si="9" ref="L100:L107">K100/D100</f>
        <v>0.04948535233570863</v>
      </c>
      <c r="M100" s="198"/>
    </row>
    <row r="101" spans="1:13" ht="15">
      <c r="A101" s="7" t="s">
        <v>343</v>
      </c>
      <c r="B101" s="8"/>
      <c r="C101" s="172">
        <v>21.2</v>
      </c>
      <c r="D101" s="9">
        <f>'Statistiques AFE 2009'!M209</f>
        <v>79</v>
      </c>
      <c r="E101" s="9">
        <v>43</v>
      </c>
      <c r="F101" s="57">
        <f t="shared" si="6"/>
        <v>0.5443037974683544</v>
      </c>
      <c r="G101" s="10">
        <v>17</v>
      </c>
      <c r="H101" s="57">
        <f t="shared" si="7"/>
        <v>0.21518987341772153</v>
      </c>
      <c r="I101" s="10">
        <v>14</v>
      </c>
      <c r="J101" s="57">
        <f t="shared" si="8"/>
        <v>0.17721518987341772</v>
      </c>
      <c r="K101" s="10">
        <v>5</v>
      </c>
      <c r="L101" s="60">
        <f t="shared" si="9"/>
        <v>0.06329113924050633</v>
      </c>
      <c r="M101" s="198"/>
    </row>
    <row r="102" spans="1:13" ht="15">
      <c r="A102" s="7" t="s">
        <v>344</v>
      </c>
      <c r="B102" s="8"/>
      <c r="C102" s="172">
        <v>15.63</v>
      </c>
      <c r="D102" s="9">
        <f>'Statistiques AFE 2009'!M210</f>
        <v>180</v>
      </c>
      <c r="E102" s="9">
        <v>84</v>
      </c>
      <c r="F102" s="57">
        <f t="shared" si="6"/>
        <v>0.4666666666666667</v>
      </c>
      <c r="G102" s="10">
        <v>58</v>
      </c>
      <c r="H102" s="57">
        <f t="shared" si="7"/>
        <v>0.32222222222222224</v>
      </c>
      <c r="I102" s="10">
        <v>23</v>
      </c>
      <c r="J102" s="57">
        <f t="shared" si="8"/>
        <v>0.12777777777777777</v>
      </c>
      <c r="K102" s="10">
        <v>15</v>
      </c>
      <c r="L102" s="60">
        <f t="shared" si="9"/>
        <v>0.08333333333333333</v>
      </c>
      <c r="M102" s="198"/>
    </row>
    <row r="103" spans="1:13" ht="15">
      <c r="A103" s="7" t="s">
        <v>345</v>
      </c>
      <c r="B103" s="8"/>
      <c r="C103" s="172">
        <v>24.68</v>
      </c>
      <c r="D103" s="9">
        <f>'Statistiques AFE 2009'!M211</f>
        <v>54</v>
      </c>
      <c r="E103" s="9">
        <v>13</v>
      </c>
      <c r="F103" s="57">
        <f t="shared" si="6"/>
        <v>0.24074074074074073</v>
      </c>
      <c r="G103" s="10">
        <v>6</v>
      </c>
      <c r="H103" s="57">
        <f t="shared" si="7"/>
        <v>0.1111111111111111</v>
      </c>
      <c r="I103" s="10">
        <v>29</v>
      </c>
      <c r="J103" s="57">
        <f t="shared" si="8"/>
        <v>0.5370370370370371</v>
      </c>
      <c r="K103" s="10">
        <v>6</v>
      </c>
      <c r="L103" s="60">
        <f t="shared" si="9"/>
        <v>0.1111111111111111</v>
      </c>
      <c r="M103" s="198"/>
    </row>
    <row r="104" spans="1:13" ht="15">
      <c r="A104" s="7" t="s">
        <v>346</v>
      </c>
      <c r="B104" s="8"/>
      <c r="C104" s="172">
        <v>24.44</v>
      </c>
      <c r="D104" s="9">
        <f>'Statistiques AFE 2009'!M212</f>
        <v>105</v>
      </c>
      <c r="E104" s="9">
        <v>23</v>
      </c>
      <c r="F104" s="57">
        <f t="shared" si="6"/>
        <v>0.21904761904761905</v>
      </c>
      <c r="G104" s="10">
        <v>63</v>
      </c>
      <c r="H104" s="57">
        <f t="shared" si="7"/>
        <v>0.6</v>
      </c>
      <c r="I104" s="10">
        <v>10</v>
      </c>
      <c r="J104" s="57">
        <f t="shared" si="8"/>
        <v>0.09523809523809523</v>
      </c>
      <c r="K104" s="10">
        <v>9</v>
      </c>
      <c r="L104" s="60">
        <f t="shared" si="9"/>
        <v>0.08571428571428572</v>
      </c>
      <c r="M104" s="198"/>
    </row>
    <row r="105" spans="1:13" ht="15">
      <c r="A105" s="297" t="s">
        <v>347</v>
      </c>
      <c r="B105" s="298"/>
      <c r="C105" s="172">
        <v>18.84</v>
      </c>
      <c r="D105" s="9">
        <f>'Statistiques AFE 2009'!M213</f>
        <v>105</v>
      </c>
      <c r="E105" s="9">
        <v>15</v>
      </c>
      <c r="F105" s="57">
        <f t="shared" si="6"/>
        <v>0.14285714285714285</v>
      </c>
      <c r="G105" s="10">
        <v>35</v>
      </c>
      <c r="H105" s="57">
        <f t="shared" si="7"/>
        <v>0.3333333333333333</v>
      </c>
      <c r="I105" s="10">
        <v>45</v>
      </c>
      <c r="J105" s="57">
        <f t="shared" si="8"/>
        <v>0.42857142857142855</v>
      </c>
      <c r="K105" s="10">
        <v>10</v>
      </c>
      <c r="L105" s="60">
        <f t="shared" si="9"/>
        <v>0.09523809523809523</v>
      </c>
      <c r="M105" s="198"/>
    </row>
    <row r="106" spans="1:13" ht="15">
      <c r="A106" s="297" t="s">
        <v>348</v>
      </c>
      <c r="B106" s="298"/>
      <c r="C106" s="172">
        <v>21.34</v>
      </c>
      <c r="D106" s="9">
        <f>'Statistiques AFE 2009'!M214</f>
        <v>83</v>
      </c>
      <c r="E106" s="9">
        <v>23</v>
      </c>
      <c r="F106" s="57">
        <f t="shared" si="6"/>
        <v>0.27710843373493976</v>
      </c>
      <c r="G106" s="10">
        <v>18</v>
      </c>
      <c r="H106" s="57">
        <f t="shared" si="7"/>
        <v>0.21686746987951808</v>
      </c>
      <c r="I106" s="10">
        <v>31</v>
      </c>
      <c r="J106" s="57">
        <f t="shared" si="8"/>
        <v>0.37349397590361444</v>
      </c>
      <c r="K106" s="10">
        <v>11</v>
      </c>
      <c r="L106" s="60">
        <f t="shared" si="9"/>
        <v>0.13253012048192772</v>
      </c>
      <c r="M106" s="198"/>
    </row>
    <row r="107" spans="1:13" ht="15.75" thickBot="1">
      <c r="A107" s="235" t="s">
        <v>286</v>
      </c>
      <c r="B107" s="236"/>
      <c r="C107" s="171">
        <v>22.03</v>
      </c>
      <c r="D107" s="11">
        <f>SUM(D100:D106)</f>
        <v>3132</v>
      </c>
      <c r="E107" s="11">
        <f>SUM(E100:E106)</f>
        <v>676</v>
      </c>
      <c r="F107" s="58">
        <f t="shared" si="6"/>
        <v>0.21583652618135377</v>
      </c>
      <c r="G107" s="12">
        <f>SUM(G100:G106)</f>
        <v>749</v>
      </c>
      <c r="H107" s="58">
        <f t="shared" si="7"/>
        <v>0.23914431673052364</v>
      </c>
      <c r="I107" s="12">
        <f>SUM(I100:I106)</f>
        <v>1526</v>
      </c>
      <c r="J107" s="58">
        <f t="shared" si="8"/>
        <v>0.4872286079182631</v>
      </c>
      <c r="K107" s="12">
        <f>SUM(K100:K106)</f>
        <v>181</v>
      </c>
      <c r="L107" s="61">
        <f t="shared" si="9"/>
        <v>0.05779054916985951</v>
      </c>
      <c r="M107" s="198"/>
    </row>
    <row r="108" spans="1:12" ht="15.75" thickTop="1">
      <c r="A108" s="296" t="s">
        <v>287</v>
      </c>
      <c r="B108" s="296"/>
      <c r="C108" s="136"/>
      <c r="D108" s="16"/>
      <c r="E108" s="199"/>
      <c r="F108" s="199"/>
      <c r="G108" s="199"/>
      <c r="H108" s="199"/>
      <c r="I108" s="199"/>
      <c r="J108" s="199"/>
      <c r="K108" s="199"/>
      <c r="L108" s="199"/>
    </row>
    <row r="109" spans="2:16" ht="15">
      <c r="B109" s="24" t="s">
        <v>603</v>
      </c>
      <c r="D109" s="19"/>
      <c r="E109" s="13"/>
      <c r="F109" s="13"/>
      <c r="G109" s="13"/>
      <c r="H109" s="322"/>
      <c r="I109" s="322"/>
      <c r="J109" s="322"/>
      <c r="K109" s="322"/>
      <c r="L109" s="322"/>
      <c r="M109" s="200"/>
      <c r="N109" s="200"/>
      <c r="O109" s="200"/>
      <c r="P109" s="200"/>
    </row>
    <row r="110" spans="2:16" ht="15">
      <c r="B110" s="24" t="s">
        <v>604</v>
      </c>
      <c r="D110" s="19"/>
      <c r="E110" s="19"/>
      <c r="F110" s="19"/>
      <c r="G110" s="19"/>
      <c r="H110" s="321"/>
      <c r="I110" s="321"/>
      <c r="J110" s="321"/>
      <c r="K110" s="321"/>
      <c r="L110" s="321"/>
      <c r="M110" s="321"/>
      <c r="N110" s="321"/>
      <c r="O110" s="321"/>
      <c r="P110" s="321"/>
    </row>
    <row r="111" spans="2:16" ht="15">
      <c r="B111" s="24" t="s">
        <v>605</v>
      </c>
      <c r="D111" s="19"/>
      <c r="E111" s="19"/>
      <c r="F111" s="19"/>
      <c r="G111" s="19"/>
      <c r="H111" s="321"/>
      <c r="I111" s="321"/>
      <c r="J111" s="321"/>
      <c r="K111" s="321"/>
      <c r="L111" s="321"/>
      <c r="M111" s="321"/>
      <c r="N111" s="321"/>
      <c r="O111" s="200"/>
      <c r="P111" s="200"/>
    </row>
    <row r="112" spans="4:16" ht="15.75" thickBot="1">
      <c r="D112" s="19"/>
      <c r="E112" s="19"/>
      <c r="F112" s="19"/>
      <c r="G112" s="19"/>
      <c r="H112" s="19"/>
      <c r="I112" s="19"/>
      <c r="J112" s="19"/>
      <c r="K112" s="19"/>
      <c r="L112" s="19"/>
      <c r="M112" s="19"/>
      <c r="N112" s="19"/>
      <c r="O112" s="200"/>
      <c r="P112" s="200"/>
    </row>
    <row r="113" spans="1:8" ht="15.75" thickTop="1">
      <c r="A113" s="63" t="s">
        <v>349</v>
      </c>
      <c r="B113" s="20"/>
      <c r="C113" s="20"/>
      <c r="D113" s="20"/>
      <c r="E113" s="20"/>
      <c r="F113" s="20"/>
      <c r="G113" s="20"/>
      <c r="H113" s="21"/>
    </row>
    <row r="114" spans="1:8" ht="60" customHeight="1">
      <c r="A114" s="301" t="s">
        <v>202</v>
      </c>
      <c r="B114" s="231"/>
      <c r="C114" s="302" t="s">
        <v>497</v>
      </c>
      <c r="D114" s="271" t="s">
        <v>283</v>
      </c>
      <c r="E114" s="232" t="s">
        <v>553</v>
      </c>
      <c r="F114" s="282"/>
      <c r="G114" s="232" t="s">
        <v>554</v>
      </c>
      <c r="H114" s="234"/>
    </row>
    <row r="115" spans="1:8" ht="25.5">
      <c r="A115" s="301"/>
      <c r="B115" s="231"/>
      <c r="C115" s="303"/>
      <c r="D115" s="271"/>
      <c r="E115" s="4" t="s">
        <v>284</v>
      </c>
      <c r="F115" s="26" t="s">
        <v>285</v>
      </c>
      <c r="G115" s="4" t="s">
        <v>284</v>
      </c>
      <c r="H115" s="59" t="s">
        <v>285</v>
      </c>
    </row>
    <row r="116" spans="1:9" ht="15">
      <c r="A116" s="297" t="s">
        <v>205</v>
      </c>
      <c r="B116" s="298"/>
      <c r="C116" s="172">
        <v>14.98</v>
      </c>
      <c r="D116" s="9">
        <f>'Statistiques AFE 2009'!M8</f>
        <v>2106</v>
      </c>
      <c r="E116" s="9">
        <v>746</v>
      </c>
      <c r="F116" s="57">
        <f>E116/D116</f>
        <v>0.35422602089268757</v>
      </c>
      <c r="G116" s="10">
        <v>1360</v>
      </c>
      <c r="H116" s="60">
        <f>G116/D116</f>
        <v>0.6457739791073125</v>
      </c>
      <c r="I116" s="198"/>
    </row>
    <row r="117" spans="1:9" ht="15">
      <c r="A117" s="297" t="s">
        <v>351</v>
      </c>
      <c r="B117" s="298"/>
      <c r="C117" s="172">
        <v>16.44</v>
      </c>
      <c r="D117" s="9">
        <f>'Statistiques AFE 2009'!M11</f>
        <v>1069</v>
      </c>
      <c r="E117" s="9">
        <v>455</v>
      </c>
      <c r="F117" s="57">
        <f>E117/D117</f>
        <v>0.4256314312441534</v>
      </c>
      <c r="G117" s="10">
        <v>614</v>
      </c>
      <c r="H117" s="60">
        <f>G117/D117</f>
        <v>0.5743685687558466</v>
      </c>
      <c r="I117" s="198"/>
    </row>
    <row r="118" spans="1:9" ht="15">
      <c r="A118" s="297" t="s">
        <v>350</v>
      </c>
      <c r="B118" s="298"/>
      <c r="C118" s="172">
        <v>23.1</v>
      </c>
      <c r="D118" s="9">
        <f>'Statistiques AFE 2009'!M12</f>
        <v>772</v>
      </c>
      <c r="E118" s="9">
        <v>241</v>
      </c>
      <c r="F118" s="57">
        <f>E118/D118</f>
        <v>0.3121761658031088</v>
      </c>
      <c r="G118" s="10">
        <v>531</v>
      </c>
      <c r="H118" s="60">
        <f>G118/D118</f>
        <v>0.6878238341968912</v>
      </c>
      <c r="I118" s="198"/>
    </row>
    <row r="119" spans="1:9" ht="13.5" customHeight="1" thickBot="1">
      <c r="A119" s="235" t="s">
        <v>286</v>
      </c>
      <c r="B119" s="236"/>
      <c r="C119" s="171">
        <v>16.47</v>
      </c>
      <c r="D119" s="11">
        <f>SUM(D116:D118)</f>
        <v>3947</v>
      </c>
      <c r="E119" s="11">
        <f>SUM(E116:E118)</f>
        <v>1442</v>
      </c>
      <c r="F119" s="58">
        <f>E119/D119</f>
        <v>0.36534076513807956</v>
      </c>
      <c r="G119" s="12">
        <f>SUM(G116:G118)</f>
        <v>2505</v>
      </c>
      <c r="H119" s="61">
        <f>G119/D119</f>
        <v>0.6346592348619204</v>
      </c>
      <c r="I119" s="198"/>
    </row>
    <row r="120" spans="1:8" ht="15.75" thickTop="1">
      <c r="A120" s="296" t="s">
        <v>287</v>
      </c>
      <c r="B120" s="296"/>
      <c r="C120" s="136"/>
      <c r="D120" s="16"/>
      <c r="E120" s="199"/>
      <c r="F120" s="199"/>
      <c r="G120" s="199"/>
      <c r="H120" s="199"/>
    </row>
    <row r="121" spans="2:16" ht="15">
      <c r="B121" s="24" t="s">
        <v>606</v>
      </c>
      <c r="D121" s="19"/>
      <c r="E121" s="13"/>
      <c r="F121" s="13"/>
      <c r="G121" s="13"/>
      <c r="H121" s="322"/>
      <c r="I121" s="322"/>
      <c r="J121" s="322"/>
      <c r="K121" s="322"/>
      <c r="L121" s="322"/>
      <c r="M121" s="200"/>
      <c r="N121" s="200"/>
      <c r="O121" s="200"/>
      <c r="P121" s="200"/>
    </row>
    <row r="122" spans="2:16" ht="15">
      <c r="B122" s="24" t="s">
        <v>607</v>
      </c>
      <c r="D122" s="19"/>
      <c r="E122" s="19"/>
      <c r="F122" s="19"/>
      <c r="G122" s="19"/>
      <c r="H122" s="321"/>
      <c r="I122" s="321"/>
      <c r="J122" s="321"/>
      <c r="K122" s="321"/>
      <c r="L122" s="321"/>
      <c r="M122" s="321"/>
      <c r="N122" s="321"/>
      <c r="O122" s="321"/>
      <c r="P122" s="321"/>
    </row>
    <row r="123" spans="2:16" ht="15">
      <c r="B123" s="24" t="s">
        <v>608</v>
      </c>
      <c r="D123" s="19"/>
      <c r="E123" s="19"/>
      <c r="F123" s="19"/>
      <c r="G123" s="19"/>
      <c r="H123" s="321"/>
      <c r="I123" s="321"/>
      <c r="J123" s="321"/>
      <c r="K123" s="321"/>
      <c r="L123" s="321"/>
      <c r="M123" s="321"/>
      <c r="N123" s="321"/>
      <c r="O123" s="200"/>
      <c r="P123" s="200"/>
    </row>
    <row r="124" spans="2:16" ht="15">
      <c r="B124" s="24" t="s">
        <v>609</v>
      </c>
      <c r="D124" s="19"/>
      <c r="E124" s="19"/>
      <c r="F124" s="19"/>
      <c r="G124" s="19"/>
      <c r="H124" s="19"/>
      <c r="I124" s="19"/>
      <c r="J124" s="19"/>
      <c r="K124" s="19"/>
      <c r="L124" s="19"/>
      <c r="M124" s="19"/>
      <c r="N124" s="19"/>
      <c r="O124" s="200"/>
      <c r="P124" s="200"/>
    </row>
    <row r="125" spans="4:14" ht="15.75" thickBot="1">
      <c r="D125" s="19"/>
      <c r="E125" s="19"/>
      <c r="F125" s="19"/>
      <c r="G125" s="19"/>
      <c r="H125" s="19"/>
      <c r="I125" s="19"/>
      <c r="J125" s="19"/>
      <c r="K125" s="19"/>
      <c r="L125" s="19"/>
      <c r="M125" s="19"/>
      <c r="N125" s="19"/>
    </row>
    <row r="126" spans="1:14" ht="15.75" thickTop="1">
      <c r="A126" s="63" t="s">
        <v>352</v>
      </c>
      <c r="B126" s="20"/>
      <c r="C126" s="20"/>
      <c r="D126" s="20"/>
      <c r="E126" s="20"/>
      <c r="F126" s="20"/>
      <c r="G126" s="20"/>
      <c r="H126" s="20"/>
      <c r="I126" s="20"/>
      <c r="J126" s="20"/>
      <c r="K126" s="20"/>
      <c r="L126" s="20"/>
      <c r="M126" s="20"/>
      <c r="N126" s="21"/>
    </row>
    <row r="127" spans="1:14" ht="45" customHeight="1">
      <c r="A127" s="301" t="s">
        <v>202</v>
      </c>
      <c r="B127" s="231"/>
      <c r="C127" s="302" t="s">
        <v>497</v>
      </c>
      <c r="D127" s="271" t="s">
        <v>283</v>
      </c>
      <c r="E127" s="232" t="s">
        <v>555</v>
      </c>
      <c r="F127" s="282"/>
      <c r="G127" s="232" t="s">
        <v>556</v>
      </c>
      <c r="H127" s="282"/>
      <c r="I127" s="232" t="s">
        <v>543</v>
      </c>
      <c r="J127" s="282"/>
      <c r="K127" s="232" t="s">
        <v>557</v>
      </c>
      <c r="L127" s="282"/>
      <c r="M127" s="232" t="s">
        <v>558</v>
      </c>
      <c r="N127" s="234"/>
    </row>
    <row r="128" spans="1:14" ht="25.5">
      <c r="A128" s="301"/>
      <c r="B128" s="231"/>
      <c r="C128" s="303"/>
      <c r="D128" s="271"/>
      <c r="E128" s="4" t="s">
        <v>284</v>
      </c>
      <c r="F128" s="26" t="s">
        <v>285</v>
      </c>
      <c r="G128" s="4" t="s">
        <v>284</v>
      </c>
      <c r="H128" s="4" t="s">
        <v>285</v>
      </c>
      <c r="I128" s="4" t="s">
        <v>284</v>
      </c>
      <c r="J128" s="4" t="s">
        <v>285</v>
      </c>
      <c r="K128" s="4" t="s">
        <v>284</v>
      </c>
      <c r="L128" s="4" t="s">
        <v>285</v>
      </c>
      <c r="M128" s="4" t="s">
        <v>284</v>
      </c>
      <c r="N128" s="59" t="s">
        <v>285</v>
      </c>
    </row>
    <row r="129" spans="1:15" ht="15">
      <c r="A129" s="299" t="s">
        <v>353</v>
      </c>
      <c r="B129" s="300"/>
      <c r="C129" s="173">
        <v>30.75</v>
      </c>
      <c r="D129" s="9">
        <f>'Statistiques AFE 2009'!M17</f>
        <v>1532</v>
      </c>
      <c r="E129" s="9">
        <v>244</v>
      </c>
      <c r="F129" s="57">
        <f aca="true" t="shared" si="10" ref="F129:F135">E129/D129</f>
        <v>0.15926892950391644</v>
      </c>
      <c r="G129" s="10">
        <v>33</v>
      </c>
      <c r="H129" s="57">
        <f aca="true" t="shared" si="11" ref="H129:H135">G129/D129</f>
        <v>0.02154046997389034</v>
      </c>
      <c r="I129" s="10">
        <v>717</v>
      </c>
      <c r="J129" s="57">
        <f aca="true" t="shared" si="12" ref="J129:J135">I129/D129</f>
        <v>0.4680156657963446</v>
      </c>
      <c r="K129" s="10">
        <v>222</v>
      </c>
      <c r="L129" s="57">
        <f aca="true" t="shared" si="13" ref="L129:L135">K129/D129</f>
        <v>0.14490861618798956</v>
      </c>
      <c r="M129" s="10">
        <v>316</v>
      </c>
      <c r="N129" s="60">
        <f aca="true" t="shared" si="14" ref="N129:N135">M129/D129</f>
        <v>0.206266318537859</v>
      </c>
      <c r="O129" s="198"/>
    </row>
    <row r="130" spans="1:15" ht="15">
      <c r="A130" s="299" t="s">
        <v>354</v>
      </c>
      <c r="B130" s="300"/>
      <c r="C130" s="173">
        <v>31.57</v>
      </c>
      <c r="D130" s="9">
        <f>'Statistiques AFE 2009'!M18</f>
        <v>600</v>
      </c>
      <c r="E130" s="201">
        <v>74</v>
      </c>
      <c r="F130" s="57">
        <f t="shared" si="10"/>
        <v>0.12333333333333334</v>
      </c>
      <c r="G130" s="201">
        <v>8</v>
      </c>
      <c r="H130" s="57">
        <f t="shared" si="11"/>
        <v>0.013333333333333334</v>
      </c>
      <c r="I130" s="201">
        <v>110</v>
      </c>
      <c r="J130" s="57">
        <f t="shared" si="12"/>
        <v>0.18333333333333332</v>
      </c>
      <c r="K130" s="201">
        <v>214</v>
      </c>
      <c r="L130" s="57">
        <f t="shared" si="13"/>
        <v>0.3566666666666667</v>
      </c>
      <c r="M130" s="201">
        <v>194</v>
      </c>
      <c r="N130" s="60">
        <f t="shared" si="14"/>
        <v>0.3233333333333333</v>
      </c>
      <c r="O130" s="198"/>
    </row>
    <row r="131" spans="1:15" ht="15">
      <c r="A131" s="299" t="s">
        <v>355</v>
      </c>
      <c r="B131" s="300"/>
      <c r="C131" s="173">
        <v>31.27</v>
      </c>
      <c r="D131" s="9">
        <f>'Statistiques AFE 2009'!M19</f>
        <v>477</v>
      </c>
      <c r="E131" s="201">
        <v>44</v>
      </c>
      <c r="F131" s="57">
        <f t="shared" si="10"/>
        <v>0.09224318658280922</v>
      </c>
      <c r="G131" s="201">
        <v>10</v>
      </c>
      <c r="H131" s="57">
        <f t="shared" si="11"/>
        <v>0.020964360587002098</v>
      </c>
      <c r="I131" s="201">
        <v>115</v>
      </c>
      <c r="J131" s="57">
        <f t="shared" si="12"/>
        <v>0.24109014675052412</v>
      </c>
      <c r="K131" s="201">
        <v>153</v>
      </c>
      <c r="L131" s="57">
        <f t="shared" si="13"/>
        <v>0.32075471698113206</v>
      </c>
      <c r="M131" s="201">
        <v>155</v>
      </c>
      <c r="N131" s="60">
        <f t="shared" si="14"/>
        <v>0.3249475890985325</v>
      </c>
      <c r="O131" s="198"/>
    </row>
    <row r="132" spans="1:15" ht="15">
      <c r="A132" s="299" t="s">
        <v>356</v>
      </c>
      <c r="B132" s="300"/>
      <c r="C132" s="173">
        <v>24.18</v>
      </c>
      <c r="D132" s="9">
        <f>'Statistiques AFE 2009'!M20</f>
        <v>841</v>
      </c>
      <c r="E132" s="201">
        <v>106</v>
      </c>
      <c r="F132" s="57">
        <f t="shared" si="10"/>
        <v>0.12604042806183116</v>
      </c>
      <c r="G132" s="201">
        <v>34</v>
      </c>
      <c r="H132" s="57">
        <f t="shared" si="11"/>
        <v>0.04042806183115339</v>
      </c>
      <c r="I132" s="201">
        <v>182</v>
      </c>
      <c r="J132" s="57">
        <f t="shared" si="12"/>
        <v>0.2164090368608799</v>
      </c>
      <c r="K132" s="201">
        <v>138</v>
      </c>
      <c r="L132" s="57">
        <f t="shared" si="13"/>
        <v>0.16409036860879905</v>
      </c>
      <c r="M132" s="201">
        <v>381</v>
      </c>
      <c r="N132" s="60">
        <f t="shared" si="14"/>
        <v>0.4530321046373365</v>
      </c>
      <c r="O132" s="198"/>
    </row>
    <row r="133" spans="1:15" ht="15">
      <c r="A133" s="299" t="s">
        <v>357</v>
      </c>
      <c r="B133" s="300"/>
      <c r="C133" s="173">
        <v>28.41</v>
      </c>
      <c r="D133" s="9">
        <f>'Statistiques AFE 2009'!M25</f>
        <v>3097</v>
      </c>
      <c r="E133" s="9">
        <v>987</v>
      </c>
      <c r="F133" s="57">
        <f t="shared" si="10"/>
        <v>0.31869551178559896</v>
      </c>
      <c r="G133" s="10">
        <v>39</v>
      </c>
      <c r="H133" s="57">
        <f t="shared" si="11"/>
        <v>0.012592831772683243</v>
      </c>
      <c r="I133" s="10">
        <v>348</v>
      </c>
      <c r="J133" s="57">
        <f t="shared" si="12"/>
        <v>0.1123668065870197</v>
      </c>
      <c r="K133" s="10">
        <v>401</v>
      </c>
      <c r="L133" s="57">
        <f t="shared" si="13"/>
        <v>0.12948014207297384</v>
      </c>
      <c r="M133" s="10">
        <v>1322</v>
      </c>
      <c r="N133" s="60">
        <f t="shared" si="14"/>
        <v>0.42686470778172425</v>
      </c>
      <c r="O133" s="198"/>
    </row>
    <row r="134" spans="1:15" ht="15">
      <c r="A134" s="299" t="s">
        <v>358</v>
      </c>
      <c r="B134" s="300"/>
      <c r="C134" s="173">
        <v>24.92</v>
      </c>
      <c r="D134" s="9">
        <f>'Statistiques AFE 2009'!M26</f>
        <v>282</v>
      </c>
      <c r="E134" s="9">
        <v>30</v>
      </c>
      <c r="F134" s="57">
        <f t="shared" si="10"/>
        <v>0.10638297872340426</v>
      </c>
      <c r="G134" s="10">
        <v>8</v>
      </c>
      <c r="H134" s="57">
        <f t="shared" si="11"/>
        <v>0.028368794326241134</v>
      </c>
      <c r="I134" s="10">
        <v>65</v>
      </c>
      <c r="J134" s="57">
        <f t="shared" si="12"/>
        <v>0.23049645390070922</v>
      </c>
      <c r="K134" s="201">
        <v>66</v>
      </c>
      <c r="L134" s="57">
        <f t="shared" si="13"/>
        <v>0.23404255319148937</v>
      </c>
      <c r="M134" s="201">
        <v>113</v>
      </c>
      <c r="N134" s="60">
        <f t="shared" si="14"/>
        <v>0.40070921985815605</v>
      </c>
      <c r="O134" s="198"/>
    </row>
    <row r="135" spans="1:15" ht="15.75" thickBot="1">
      <c r="A135" s="235" t="s">
        <v>286</v>
      </c>
      <c r="B135" s="236"/>
      <c r="C135" s="171">
        <v>28.56</v>
      </c>
      <c r="D135" s="11">
        <f>SUM(D129:D134)</f>
        <v>6829</v>
      </c>
      <c r="E135" s="11">
        <f>SUM(E129:E134)</f>
        <v>1485</v>
      </c>
      <c r="F135" s="58">
        <f t="shared" si="10"/>
        <v>0.2174549714453068</v>
      </c>
      <c r="G135" s="12">
        <f>SUM(G129:G134)</f>
        <v>132</v>
      </c>
      <c r="H135" s="58">
        <f t="shared" si="11"/>
        <v>0.01932933079513838</v>
      </c>
      <c r="I135" s="12">
        <f>SUM(I129:I134)</f>
        <v>1537</v>
      </c>
      <c r="J135" s="58">
        <f t="shared" si="12"/>
        <v>0.22506955630399766</v>
      </c>
      <c r="K135" s="12">
        <f>SUM(K129:K134)</f>
        <v>1194</v>
      </c>
      <c r="L135" s="58">
        <f t="shared" si="13"/>
        <v>0.174842583101479</v>
      </c>
      <c r="M135" s="12">
        <f>SUM(M129:M134)</f>
        <v>2481</v>
      </c>
      <c r="N135" s="61">
        <f t="shared" si="14"/>
        <v>0.3633035583540782</v>
      </c>
      <c r="O135" s="198"/>
    </row>
    <row r="136" spans="1:14" ht="15.75" thickTop="1">
      <c r="A136" s="296" t="s">
        <v>287</v>
      </c>
      <c r="B136" s="296"/>
      <c r="C136" s="136"/>
      <c r="D136" s="16"/>
      <c r="E136" s="199"/>
      <c r="F136" s="199"/>
      <c r="G136" s="199"/>
      <c r="H136" s="199"/>
      <c r="I136" s="199"/>
      <c r="J136" s="199"/>
      <c r="K136" s="199"/>
      <c r="L136" s="199"/>
      <c r="M136" s="199"/>
      <c r="N136" s="199"/>
    </row>
    <row r="137" spans="2:16" ht="15">
      <c r="B137" s="24" t="s">
        <v>610</v>
      </c>
      <c r="D137" s="19"/>
      <c r="E137" s="13"/>
      <c r="F137" s="13"/>
      <c r="G137" s="13"/>
      <c r="H137" s="322"/>
      <c r="I137" s="322"/>
      <c r="J137" s="322"/>
      <c r="K137" s="322"/>
      <c r="L137" s="322"/>
      <c r="M137" s="200"/>
      <c r="N137" s="200"/>
      <c r="O137" s="200"/>
      <c r="P137" s="200"/>
    </row>
    <row r="138" spans="2:16" ht="15">
      <c r="B138" s="24" t="s">
        <v>611</v>
      </c>
      <c r="D138" s="19"/>
      <c r="E138" s="19"/>
      <c r="F138" s="19"/>
      <c r="G138" s="19"/>
      <c r="H138" s="321"/>
      <c r="I138" s="321"/>
      <c r="J138" s="321"/>
      <c r="K138" s="321"/>
      <c r="L138" s="321"/>
      <c r="M138" s="321"/>
      <c r="N138" s="321"/>
      <c r="O138" s="321"/>
      <c r="P138" s="321"/>
    </row>
    <row r="139" spans="2:16" ht="15">
      <c r="B139" s="24" t="s">
        <v>612</v>
      </c>
      <c r="D139" s="19"/>
      <c r="E139" s="19"/>
      <c r="F139" s="19"/>
      <c r="G139" s="19"/>
      <c r="H139" s="321"/>
      <c r="I139" s="321"/>
      <c r="J139" s="321"/>
      <c r="K139" s="321"/>
      <c r="L139" s="321"/>
      <c r="M139" s="321"/>
      <c r="N139" s="321"/>
      <c r="O139" s="200"/>
      <c r="P139" s="200"/>
    </row>
    <row r="140" spans="2:16" ht="15">
      <c r="B140" s="24" t="s">
        <v>613</v>
      </c>
      <c r="D140" s="19"/>
      <c r="E140" s="19"/>
      <c r="F140" s="19"/>
      <c r="G140" s="19"/>
      <c r="H140" s="19"/>
      <c r="I140" s="19"/>
      <c r="J140" s="19"/>
      <c r="K140" s="19"/>
      <c r="L140" s="19"/>
      <c r="M140" s="19"/>
      <c r="N140" s="19"/>
      <c r="O140" s="200"/>
      <c r="P140" s="200"/>
    </row>
    <row r="141" spans="2:16" ht="15">
      <c r="B141" s="24" t="s">
        <v>614</v>
      </c>
      <c r="D141" s="19"/>
      <c r="E141" s="19"/>
      <c r="F141" s="19"/>
      <c r="G141" s="19"/>
      <c r="H141" s="19"/>
      <c r="I141" s="19"/>
      <c r="J141" s="19"/>
      <c r="K141" s="19"/>
      <c r="L141" s="19"/>
      <c r="M141" s="19"/>
      <c r="N141" s="19"/>
      <c r="O141" s="200"/>
      <c r="P141" s="200"/>
    </row>
    <row r="142" spans="4:16" ht="15.75" thickBot="1">
      <c r="D142" s="19"/>
      <c r="E142" s="19"/>
      <c r="F142" s="19"/>
      <c r="G142" s="19"/>
      <c r="H142" s="19"/>
      <c r="I142" s="19"/>
      <c r="J142" s="19"/>
      <c r="K142" s="19"/>
      <c r="L142" s="19"/>
      <c r="M142" s="19"/>
      <c r="N142" s="19"/>
      <c r="O142" s="200"/>
      <c r="P142" s="200"/>
    </row>
    <row r="143" spans="1:16" ht="15.75" thickTop="1">
      <c r="A143" s="63" t="s">
        <v>359</v>
      </c>
      <c r="B143" s="20"/>
      <c r="C143" s="20"/>
      <c r="D143" s="20"/>
      <c r="E143" s="20"/>
      <c r="F143" s="20"/>
      <c r="G143" s="20"/>
      <c r="H143" s="20"/>
      <c r="I143" s="20"/>
      <c r="J143" s="20"/>
      <c r="K143" s="20"/>
      <c r="L143" s="20"/>
      <c r="M143" s="20"/>
      <c r="N143" s="20"/>
      <c r="O143" s="20"/>
      <c r="P143" s="21"/>
    </row>
    <row r="144" spans="1:16" ht="60.75" customHeight="1">
      <c r="A144" s="301" t="s">
        <v>202</v>
      </c>
      <c r="B144" s="231"/>
      <c r="C144" s="302" t="s">
        <v>497</v>
      </c>
      <c r="D144" s="271" t="s">
        <v>283</v>
      </c>
      <c r="E144" s="326" t="s">
        <v>559</v>
      </c>
      <c r="F144" s="330"/>
      <c r="G144" s="326" t="s">
        <v>560</v>
      </c>
      <c r="H144" s="330"/>
      <c r="I144" s="326" t="s">
        <v>561</v>
      </c>
      <c r="J144" s="330"/>
      <c r="K144" s="326" t="s">
        <v>562</v>
      </c>
      <c r="L144" s="330"/>
      <c r="M144" s="326" t="s">
        <v>563</v>
      </c>
      <c r="N144" s="330"/>
      <c r="O144" s="326" t="s">
        <v>564</v>
      </c>
      <c r="P144" s="327"/>
    </row>
    <row r="145" spans="1:16" ht="25.5">
      <c r="A145" s="301"/>
      <c r="B145" s="231"/>
      <c r="C145" s="303"/>
      <c r="D145" s="271"/>
      <c r="E145" s="4" t="s">
        <v>284</v>
      </c>
      <c r="F145" s="26" t="s">
        <v>285</v>
      </c>
      <c r="G145" s="4" t="s">
        <v>284</v>
      </c>
      <c r="H145" s="4" t="s">
        <v>285</v>
      </c>
      <c r="I145" s="4" t="s">
        <v>284</v>
      </c>
      <c r="J145" s="4" t="s">
        <v>285</v>
      </c>
      <c r="K145" s="4" t="s">
        <v>284</v>
      </c>
      <c r="L145" s="4" t="s">
        <v>285</v>
      </c>
      <c r="M145" s="4" t="s">
        <v>284</v>
      </c>
      <c r="N145" s="4" t="s">
        <v>285</v>
      </c>
      <c r="O145" s="4" t="s">
        <v>284</v>
      </c>
      <c r="P145" s="59" t="s">
        <v>285</v>
      </c>
    </row>
    <row r="146" spans="1:17" ht="15" hidden="1">
      <c r="A146" s="2" t="s">
        <v>487</v>
      </c>
      <c r="B146" s="1"/>
      <c r="C146" s="176"/>
      <c r="D146" s="3">
        <v>784</v>
      </c>
      <c r="E146" s="4">
        <v>102</v>
      </c>
      <c r="F146" s="57">
        <f aca="true" t="shared" si="15" ref="F146:F151">E146/D146</f>
        <v>0.13010204081632654</v>
      </c>
      <c r="G146" s="4">
        <v>179</v>
      </c>
      <c r="H146" s="57">
        <f aca="true" t="shared" si="16" ref="H146:H151">G146/D146</f>
        <v>0.22831632653061223</v>
      </c>
      <c r="I146" s="4">
        <v>179</v>
      </c>
      <c r="J146" s="57">
        <f aca="true" t="shared" si="17" ref="J146:J151">I146/D146</f>
        <v>0.22831632653061223</v>
      </c>
      <c r="K146" s="4">
        <v>204</v>
      </c>
      <c r="L146" s="57">
        <f aca="true" t="shared" si="18" ref="L146:L151">K146/D146</f>
        <v>0.2602040816326531</v>
      </c>
      <c r="M146" s="4">
        <v>94</v>
      </c>
      <c r="N146" s="57">
        <f aca="true" t="shared" si="19" ref="N146:N151">M146/D146</f>
        <v>0.11989795918367346</v>
      </c>
      <c r="O146" s="4">
        <v>26</v>
      </c>
      <c r="P146" s="60">
        <f aca="true" t="shared" si="20" ref="P146:P151">O146/D146</f>
        <v>0.03316326530612245</v>
      </c>
      <c r="Q146" s="198"/>
    </row>
    <row r="147" spans="1:17" ht="15" hidden="1">
      <c r="A147" s="2" t="s">
        <v>488</v>
      </c>
      <c r="B147" s="1"/>
      <c r="C147" s="176"/>
      <c r="D147" s="3">
        <v>718</v>
      </c>
      <c r="E147" s="4">
        <v>90</v>
      </c>
      <c r="F147" s="57">
        <f t="shared" si="15"/>
        <v>0.12534818941504178</v>
      </c>
      <c r="G147" s="4">
        <v>189</v>
      </c>
      <c r="H147" s="57">
        <f t="shared" si="16"/>
        <v>0.26323119777158777</v>
      </c>
      <c r="I147" s="4">
        <v>173</v>
      </c>
      <c r="J147" s="57">
        <f t="shared" si="17"/>
        <v>0.24094707520891365</v>
      </c>
      <c r="K147" s="4">
        <v>183</v>
      </c>
      <c r="L147" s="57">
        <f t="shared" si="18"/>
        <v>0.25487465181058494</v>
      </c>
      <c r="M147" s="4">
        <v>69</v>
      </c>
      <c r="N147" s="57">
        <f t="shared" si="19"/>
        <v>0.09610027855153204</v>
      </c>
      <c r="O147" s="4">
        <v>14</v>
      </c>
      <c r="P147" s="60">
        <f t="shared" si="20"/>
        <v>0.019498607242339833</v>
      </c>
      <c r="Q147" s="198"/>
    </row>
    <row r="148" spans="1:17" ht="15" hidden="1">
      <c r="A148" s="2" t="s">
        <v>489</v>
      </c>
      <c r="B148" s="1"/>
      <c r="C148" s="176"/>
      <c r="D148" s="3">
        <v>662</v>
      </c>
      <c r="E148" s="4">
        <v>80</v>
      </c>
      <c r="F148" s="57">
        <f t="shared" si="15"/>
        <v>0.12084592145015106</v>
      </c>
      <c r="G148" s="4">
        <v>186</v>
      </c>
      <c r="H148" s="57">
        <f t="shared" si="16"/>
        <v>0.2809667673716012</v>
      </c>
      <c r="I148" s="4">
        <v>144</v>
      </c>
      <c r="J148" s="57">
        <f t="shared" si="17"/>
        <v>0.2175226586102719</v>
      </c>
      <c r="K148" s="4">
        <v>175</v>
      </c>
      <c r="L148" s="57">
        <f t="shared" si="18"/>
        <v>0.26435045317220546</v>
      </c>
      <c r="M148" s="4">
        <v>65</v>
      </c>
      <c r="N148" s="57">
        <f t="shared" si="19"/>
        <v>0.09818731117824774</v>
      </c>
      <c r="O148" s="4">
        <v>14</v>
      </c>
      <c r="P148" s="60">
        <f t="shared" si="20"/>
        <v>0.021148036253776436</v>
      </c>
      <c r="Q148" s="198"/>
    </row>
    <row r="149" spans="1:17" ht="15" hidden="1">
      <c r="A149" s="2" t="s">
        <v>490</v>
      </c>
      <c r="B149" s="1"/>
      <c r="C149" s="176"/>
      <c r="D149" s="3">
        <v>129</v>
      </c>
      <c r="E149" s="4">
        <v>26</v>
      </c>
      <c r="F149" s="57">
        <f t="shared" si="15"/>
        <v>0.20155038759689922</v>
      </c>
      <c r="G149" s="4">
        <v>27</v>
      </c>
      <c r="H149" s="57">
        <f t="shared" si="16"/>
        <v>0.20930232558139536</v>
      </c>
      <c r="I149" s="4">
        <v>25</v>
      </c>
      <c r="J149" s="57">
        <f t="shared" si="17"/>
        <v>0.1937984496124031</v>
      </c>
      <c r="K149" s="4">
        <v>39</v>
      </c>
      <c r="L149" s="57">
        <f t="shared" si="18"/>
        <v>0.3023255813953488</v>
      </c>
      <c r="M149" s="4">
        <v>10</v>
      </c>
      <c r="N149" s="57">
        <f t="shared" si="19"/>
        <v>0.07751937984496124</v>
      </c>
      <c r="O149" s="4">
        <v>2</v>
      </c>
      <c r="P149" s="60">
        <f t="shared" si="20"/>
        <v>0.015503875968992248</v>
      </c>
      <c r="Q149" s="198"/>
    </row>
    <row r="150" spans="1:17" ht="15" hidden="1">
      <c r="A150" s="2" t="s">
        <v>491</v>
      </c>
      <c r="B150" s="1"/>
      <c r="C150" s="176"/>
      <c r="D150" s="3">
        <v>240</v>
      </c>
      <c r="E150" s="4">
        <v>35</v>
      </c>
      <c r="F150" s="57">
        <f t="shared" si="15"/>
        <v>0.14583333333333334</v>
      </c>
      <c r="G150" s="4">
        <v>34</v>
      </c>
      <c r="H150" s="57">
        <f t="shared" si="16"/>
        <v>0.14166666666666666</v>
      </c>
      <c r="I150" s="4">
        <v>84</v>
      </c>
      <c r="J150" s="57">
        <f t="shared" si="17"/>
        <v>0.35</v>
      </c>
      <c r="K150" s="4">
        <v>57</v>
      </c>
      <c r="L150" s="57">
        <f t="shared" si="18"/>
        <v>0.2375</v>
      </c>
      <c r="M150" s="4">
        <v>21</v>
      </c>
      <c r="N150" s="57">
        <f t="shared" si="19"/>
        <v>0.0875</v>
      </c>
      <c r="O150" s="4">
        <v>9</v>
      </c>
      <c r="P150" s="60">
        <f t="shared" si="20"/>
        <v>0.0375</v>
      </c>
      <c r="Q150" s="198"/>
    </row>
    <row r="151" spans="1:17" ht="15" hidden="1">
      <c r="A151" s="2" t="s">
        <v>492</v>
      </c>
      <c r="B151" s="1">
        <f>D146+D147+D148+D149+D150+D151</f>
        <v>2945</v>
      </c>
      <c r="C151" s="176"/>
      <c r="D151" s="3">
        <v>412</v>
      </c>
      <c r="E151" s="4">
        <v>44</v>
      </c>
      <c r="F151" s="57">
        <f t="shared" si="15"/>
        <v>0.10679611650485436</v>
      </c>
      <c r="G151" s="4">
        <v>75</v>
      </c>
      <c r="H151" s="57">
        <f t="shared" si="16"/>
        <v>0.1820388349514563</v>
      </c>
      <c r="I151" s="4">
        <v>32</v>
      </c>
      <c r="J151" s="57">
        <f t="shared" si="17"/>
        <v>0.07766990291262135</v>
      </c>
      <c r="K151" s="4">
        <v>65</v>
      </c>
      <c r="L151" s="57">
        <f t="shared" si="18"/>
        <v>0.15776699029126215</v>
      </c>
      <c r="M151" s="4">
        <v>23</v>
      </c>
      <c r="N151" s="57">
        <f t="shared" si="19"/>
        <v>0.055825242718446605</v>
      </c>
      <c r="O151" s="4">
        <v>173</v>
      </c>
      <c r="P151" s="60">
        <f t="shared" si="20"/>
        <v>0.4199029126213592</v>
      </c>
      <c r="Q151" s="198"/>
    </row>
    <row r="152" spans="1:17" ht="15">
      <c r="A152" s="297" t="s">
        <v>360</v>
      </c>
      <c r="B152" s="298"/>
      <c r="C152" s="172">
        <v>24.31</v>
      </c>
      <c r="D152" s="9">
        <f>'Statistiques AFE 2009'!M35</f>
        <v>2946</v>
      </c>
      <c r="E152" s="9">
        <f>SUM(E146:E151)</f>
        <v>377</v>
      </c>
      <c r="F152" s="57">
        <f>E152/D152</f>
        <v>0.12797012898845891</v>
      </c>
      <c r="G152" s="9">
        <f>SUM(G146:G151)</f>
        <v>690</v>
      </c>
      <c r="H152" s="57">
        <f>G152/D152</f>
        <v>0.23421588594704684</v>
      </c>
      <c r="I152" s="9">
        <f>SUM(I146:I151)</f>
        <v>637</v>
      </c>
      <c r="J152" s="57">
        <f>I152/D152</f>
        <v>0.21622539035980992</v>
      </c>
      <c r="K152" s="9">
        <f>SUM(K146:K151)</f>
        <v>723</v>
      </c>
      <c r="L152" s="57">
        <f>K152/D152</f>
        <v>0.2454175152749491</v>
      </c>
      <c r="M152" s="9">
        <f>SUM(M146:M151)</f>
        <v>282</v>
      </c>
      <c r="N152" s="57">
        <f>M152/D152</f>
        <v>0.09572301425661914</v>
      </c>
      <c r="O152" s="9">
        <f>SUM(O146:O151)</f>
        <v>238</v>
      </c>
      <c r="P152" s="60">
        <f>O152/D152</f>
        <v>0.08078750848608282</v>
      </c>
      <c r="Q152" s="198"/>
    </row>
    <row r="153" spans="1:17" ht="15">
      <c r="A153" s="297" t="s">
        <v>361</v>
      </c>
      <c r="B153" s="298"/>
      <c r="C153" s="172">
        <v>12.24</v>
      </c>
      <c r="D153" s="9">
        <f>'Statistiques AFE 2009'!M36</f>
        <v>48</v>
      </c>
      <c r="E153" s="9">
        <v>0</v>
      </c>
      <c r="F153" s="57">
        <f>E153/D153</f>
        <v>0</v>
      </c>
      <c r="G153" s="10">
        <v>24</v>
      </c>
      <c r="H153" s="57">
        <f>G153/D153</f>
        <v>0.5</v>
      </c>
      <c r="I153" s="10">
        <v>0</v>
      </c>
      <c r="J153" s="57">
        <f>I153/D153</f>
        <v>0</v>
      </c>
      <c r="K153" s="10">
        <v>23</v>
      </c>
      <c r="L153" s="57">
        <f>K153/D153</f>
        <v>0.4791666666666667</v>
      </c>
      <c r="M153" s="10">
        <v>0</v>
      </c>
      <c r="N153" s="57">
        <f>M153/D153</f>
        <v>0</v>
      </c>
      <c r="O153" s="10">
        <v>1</v>
      </c>
      <c r="P153" s="60">
        <f>O153/D153</f>
        <v>0.020833333333333332</v>
      </c>
      <c r="Q153" s="198"/>
    </row>
    <row r="154" spans="1:17" ht="15.75" thickBot="1">
      <c r="A154" s="235" t="s">
        <v>286</v>
      </c>
      <c r="B154" s="236"/>
      <c r="C154" s="171">
        <v>23.93</v>
      </c>
      <c r="D154" s="11">
        <f>SUM(D152:D153)</f>
        <v>2994</v>
      </c>
      <c r="E154" s="11">
        <f>SUM(E152:E153)</f>
        <v>377</v>
      </c>
      <c r="F154" s="58">
        <f>E154/D154</f>
        <v>0.1259185036740147</v>
      </c>
      <c r="G154" s="12">
        <f>SUM(G152:G153)</f>
        <v>714</v>
      </c>
      <c r="H154" s="58">
        <f>G154/D154</f>
        <v>0.23847695390781562</v>
      </c>
      <c r="I154" s="12">
        <f>SUM(I152:I153)</f>
        <v>637</v>
      </c>
      <c r="J154" s="58">
        <f>I154/D154</f>
        <v>0.21275885103540415</v>
      </c>
      <c r="K154" s="12">
        <f>SUM(K152:K153)</f>
        <v>746</v>
      </c>
      <c r="L154" s="58">
        <f>K154/D154</f>
        <v>0.24916499665998665</v>
      </c>
      <c r="M154" s="12">
        <f>SUM(M152:M153)</f>
        <v>282</v>
      </c>
      <c r="N154" s="58">
        <f>M154/D154</f>
        <v>0.09418837675350701</v>
      </c>
      <c r="O154" s="12">
        <f>SUM(O152:O153)</f>
        <v>239</v>
      </c>
      <c r="P154" s="61">
        <f>O154/D154</f>
        <v>0.07982631930527723</v>
      </c>
      <c r="Q154" s="198"/>
    </row>
    <row r="155" spans="1:16" ht="15.75" thickTop="1">
      <c r="A155" s="296" t="s">
        <v>652</v>
      </c>
      <c r="B155" s="296"/>
      <c r="C155" s="136"/>
      <c r="D155" s="16"/>
      <c r="E155" s="199"/>
      <c r="F155" s="199"/>
      <c r="G155" s="199"/>
      <c r="H155" s="199"/>
      <c r="I155" s="199"/>
      <c r="J155" s="199"/>
      <c r="K155" s="199"/>
      <c r="L155" s="199"/>
      <c r="M155" s="199"/>
      <c r="N155" s="199"/>
      <c r="O155" s="199"/>
      <c r="P155" s="199"/>
    </row>
    <row r="156" spans="2:16" ht="15">
      <c r="B156" s="24" t="s">
        <v>615</v>
      </c>
      <c r="D156" s="19"/>
      <c r="E156" s="13"/>
      <c r="F156" s="13"/>
      <c r="G156" s="13"/>
      <c r="H156" s="322"/>
      <c r="I156" s="322"/>
      <c r="J156" s="322"/>
      <c r="K156" s="322"/>
      <c r="L156" s="322"/>
      <c r="M156" s="200"/>
      <c r="N156" s="200"/>
      <c r="O156" s="200"/>
      <c r="P156" s="200"/>
    </row>
    <row r="157" spans="2:16" ht="15">
      <c r="B157" s="24" t="s">
        <v>616</v>
      </c>
      <c r="D157" s="19"/>
      <c r="E157" s="19"/>
      <c r="F157" s="19"/>
      <c r="G157" s="19"/>
      <c r="H157" s="321"/>
      <c r="I157" s="321"/>
      <c r="J157" s="321"/>
      <c r="K157" s="321"/>
      <c r="L157" s="321"/>
      <c r="M157" s="321"/>
      <c r="N157" s="321"/>
      <c r="O157" s="321"/>
      <c r="P157" s="321"/>
    </row>
    <row r="158" spans="2:16" ht="15">
      <c r="B158" s="24" t="s">
        <v>617</v>
      </c>
      <c r="D158" s="19"/>
      <c r="E158" s="19"/>
      <c r="F158" s="19"/>
      <c r="G158" s="19"/>
      <c r="H158" s="321"/>
      <c r="I158" s="321"/>
      <c r="J158" s="321"/>
      <c r="K158" s="321"/>
      <c r="L158" s="321"/>
      <c r="M158" s="321"/>
      <c r="N158" s="321"/>
      <c r="O158" s="200"/>
      <c r="P158" s="200"/>
    </row>
    <row r="159" spans="4:16" ht="15.75" thickBot="1">
      <c r="D159" s="19"/>
      <c r="E159" s="19"/>
      <c r="F159" s="19"/>
      <c r="G159" s="19"/>
      <c r="H159" s="19"/>
      <c r="I159" s="19"/>
      <c r="J159" s="19"/>
      <c r="K159" s="19"/>
      <c r="L159" s="19"/>
      <c r="M159" s="19"/>
      <c r="N159" s="19"/>
      <c r="O159" s="200"/>
      <c r="P159" s="200"/>
    </row>
    <row r="160" spans="1:18" ht="15.75" thickTop="1">
      <c r="A160" s="63" t="s">
        <v>362</v>
      </c>
      <c r="B160" s="20"/>
      <c r="C160" s="20"/>
      <c r="D160" s="20"/>
      <c r="E160" s="20"/>
      <c r="F160" s="20"/>
      <c r="G160" s="20"/>
      <c r="H160" s="20"/>
      <c r="I160" s="20"/>
      <c r="J160" s="20"/>
      <c r="K160" s="20"/>
      <c r="L160" s="20"/>
      <c r="M160" s="20"/>
      <c r="N160" s="20"/>
      <c r="O160" s="20"/>
      <c r="P160" s="20"/>
      <c r="Q160" s="196"/>
      <c r="R160" s="197"/>
    </row>
    <row r="161" spans="1:18" ht="55.5" customHeight="1">
      <c r="A161" s="301" t="s">
        <v>202</v>
      </c>
      <c r="B161" s="231"/>
      <c r="C161" s="302" t="s">
        <v>497</v>
      </c>
      <c r="D161" s="271" t="s">
        <v>283</v>
      </c>
      <c r="E161" s="232" t="s">
        <v>565</v>
      </c>
      <c r="F161" s="282"/>
      <c r="G161" s="232" t="s">
        <v>536</v>
      </c>
      <c r="H161" s="282"/>
      <c r="I161" s="232" t="s">
        <v>566</v>
      </c>
      <c r="J161" s="282"/>
      <c r="K161" s="232" t="s">
        <v>567</v>
      </c>
      <c r="L161" s="282"/>
      <c r="M161" s="232" t="s">
        <v>568</v>
      </c>
      <c r="N161" s="282"/>
      <c r="O161" s="232" t="s">
        <v>569</v>
      </c>
      <c r="P161" s="282"/>
      <c r="Q161" s="232" t="s">
        <v>570</v>
      </c>
      <c r="R161" s="234"/>
    </row>
    <row r="162" spans="1:18" ht="25.5">
      <c r="A162" s="301"/>
      <c r="B162" s="231"/>
      <c r="C162" s="303"/>
      <c r="D162" s="271"/>
      <c r="E162" s="4" t="s">
        <v>284</v>
      </c>
      <c r="F162" s="26" t="s">
        <v>285</v>
      </c>
      <c r="G162" s="4" t="s">
        <v>284</v>
      </c>
      <c r="H162" s="4" t="s">
        <v>285</v>
      </c>
      <c r="I162" s="4" t="s">
        <v>284</v>
      </c>
      <c r="J162" s="4" t="s">
        <v>285</v>
      </c>
      <c r="K162" s="4" t="s">
        <v>284</v>
      </c>
      <c r="L162" s="4" t="s">
        <v>285</v>
      </c>
      <c r="M162" s="4" t="s">
        <v>284</v>
      </c>
      <c r="N162" s="4" t="s">
        <v>285</v>
      </c>
      <c r="O162" s="4" t="s">
        <v>284</v>
      </c>
      <c r="P162" s="4" t="s">
        <v>285</v>
      </c>
      <c r="Q162" s="4" t="s">
        <v>284</v>
      </c>
      <c r="R162" s="59" t="s">
        <v>285</v>
      </c>
    </row>
    <row r="163" spans="1:19" ht="15">
      <c r="A163" s="297" t="s">
        <v>363</v>
      </c>
      <c r="B163" s="298"/>
      <c r="C163" s="172">
        <v>28.34</v>
      </c>
      <c r="D163" s="9">
        <f>'Statistiques AFE 2009'!M51</f>
        <v>2305</v>
      </c>
      <c r="E163" s="9">
        <f>160+164+177</f>
        <v>501</v>
      </c>
      <c r="F163" s="57">
        <f>E163/D163</f>
        <v>0.217353579175705</v>
      </c>
      <c r="G163" s="10">
        <f>78+83+113</f>
        <v>274</v>
      </c>
      <c r="H163" s="57">
        <f>G163/D163</f>
        <v>0.11887201735357918</v>
      </c>
      <c r="I163" s="10">
        <f>89+93+150</f>
        <v>332</v>
      </c>
      <c r="J163" s="57">
        <f>I163/D163</f>
        <v>0.1440347071583514</v>
      </c>
      <c r="K163" s="10">
        <f>96+74+109</f>
        <v>279</v>
      </c>
      <c r="L163" s="57">
        <f>K163/D163</f>
        <v>0.1210412147505423</v>
      </c>
      <c r="M163" s="10">
        <f>117+105+173</f>
        <v>395</v>
      </c>
      <c r="N163" s="57">
        <f>M163/D163</f>
        <v>0.17136659436008678</v>
      </c>
      <c r="O163" s="10">
        <f>90+80+81</f>
        <v>251</v>
      </c>
      <c r="P163" s="57">
        <f>O163/D163</f>
        <v>0.10889370932754881</v>
      </c>
      <c r="Q163" s="10">
        <f>71+65+137</f>
        <v>273</v>
      </c>
      <c r="R163" s="60">
        <f>Q163/D163</f>
        <v>0.11843817787418655</v>
      </c>
      <c r="S163" s="198"/>
    </row>
    <row r="164" spans="1:19" ht="15">
      <c r="A164" s="7" t="s">
        <v>364</v>
      </c>
      <c r="B164" s="8"/>
      <c r="C164" s="172">
        <v>25.57</v>
      </c>
      <c r="D164" s="9">
        <f>'Statistiques AFE 2009'!M52</f>
        <v>327</v>
      </c>
      <c r="E164" s="9">
        <v>100</v>
      </c>
      <c r="F164" s="57">
        <f aca="true" t="shared" si="21" ref="F164:F170">E164/D164</f>
        <v>0.3058103975535168</v>
      </c>
      <c r="G164" s="10">
        <v>69</v>
      </c>
      <c r="H164" s="57">
        <f aca="true" t="shared" si="22" ref="H164:H170">G164/D164</f>
        <v>0.21100917431192662</v>
      </c>
      <c r="I164" s="10">
        <v>12</v>
      </c>
      <c r="J164" s="57">
        <f aca="true" t="shared" si="23" ref="J164:J170">I164/D164</f>
        <v>0.03669724770642202</v>
      </c>
      <c r="K164" s="10">
        <v>26</v>
      </c>
      <c r="L164" s="57">
        <f aca="true" t="shared" si="24" ref="L164:L170">K164/D164</f>
        <v>0.07951070336391437</v>
      </c>
      <c r="M164" s="10">
        <v>65</v>
      </c>
      <c r="N164" s="57">
        <f aca="true" t="shared" si="25" ref="N164:N170">M164/D164</f>
        <v>0.19877675840978593</v>
      </c>
      <c r="O164" s="10">
        <v>31</v>
      </c>
      <c r="P164" s="57">
        <f aca="true" t="shared" si="26" ref="P164:P170">O164/D164</f>
        <v>0.09480122324159021</v>
      </c>
      <c r="Q164" s="10">
        <v>24</v>
      </c>
      <c r="R164" s="60">
        <f aca="true" t="shared" si="27" ref="R164:R170">Q164/D164</f>
        <v>0.07339449541284404</v>
      </c>
      <c r="S164" s="198"/>
    </row>
    <row r="165" spans="1:19" ht="15">
      <c r="A165" s="7" t="s">
        <v>365</v>
      </c>
      <c r="B165" s="8"/>
      <c r="C165" s="172">
        <v>40.56</v>
      </c>
      <c r="D165" s="9">
        <f>'Statistiques AFE 2009'!M53</f>
        <v>454</v>
      </c>
      <c r="E165" s="9">
        <v>103</v>
      </c>
      <c r="F165" s="57">
        <f t="shared" si="21"/>
        <v>0.22687224669603523</v>
      </c>
      <c r="G165" s="10">
        <v>262</v>
      </c>
      <c r="H165" s="57">
        <f t="shared" si="22"/>
        <v>0.5770925110132159</v>
      </c>
      <c r="I165" s="10">
        <v>16</v>
      </c>
      <c r="J165" s="57">
        <f t="shared" si="23"/>
        <v>0.03524229074889868</v>
      </c>
      <c r="K165" s="10">
        <v>10</v>
      </c>
      <c r="L165" s="57">
        <f t="shared" si="24"/>
        <v>0.022026431718061675</v>
      </c>
      <c r="M165" s="10">
        <v>53</v>
      </c>
      <c r="N165" s="57">
        <f t="shared" si="25"/>
        <v>0.11674008810572688</v>
      </c>
      <c r="O165" s="10">
        <v>6</v>
      </c>
      <c r="P165" s="57">
        <f t="shared" si="26"/>
        <v>0.013215859030837005</v>
      </c>
      <c r="Q165" s="10">
        <v>4</v>
      </c>
      <c r="R165" s="60">
        <f t="shared" si="27"/>
        <v>0.00881057268722467</v>
      </c>
      <c r="S165" s="198"/>
    </row>
    <row r="166" spans="1:19" ht="15">
      <c r="A166" s="7" t="s">
        <v>366</v>
      </c>
      <c r="B166" s="8"/>
      <c r="C166" s="172">
        <v>39.5</v>
      </c>
      <c r="D166" s="9">
        <f>'Statistiques AFE 2009'!M54</f>
        <v>477</v>
      </c>
      <c r="E166" s="9">
        <v>107</v>
      </c>
      <c r="F166" s="57">
        <f t="shared" si="21"/>
        <v>0.22431865828092243</v>
      </c>
      <c r="G166" s="10">
        <v>184</v>
      </c>
      <c r="H166" s="57">
        <f t="shared" si="22"/>
        <v>0.3857442348008386</v>
      </c>
      <c r="I166" s="10">
        <v>22</v>
      </c>
      <c r="J166" s="57">
        <f t="shared" si="23"/>
        <v>0.04612159329140461</v>
      </c>
      <c r="K166" s="10">
        <v>63</v>
      </c>
      <c r="L166" s="57">
        <f t="shared" si="24"/>
        <v>0.1320754716981132</v>
      </c>
      <c r="M166" s="10">
        <v>48</v>
      </c>
      <c r="N166" s="57">
        <f t="shared" si="25"/>
        <v>0.10062893081761007</v>
      </c>
      <c r="O166" s="10">
        <v>27</v>
      </c>
      <c r="P166" s="57">
        <f t="shared" si="26"/>
        <v>0.05660377358490566</v>
      </c>
      <c r="Q166" s="10">
        <v>26</v>
      </c>
      <c r="R166" s="60">
        <f t="shared" si="27"/>
        <v>0.05450733752620545</v>
      </c>
      <c r="S166" s="198"/>
    </row>
    <row r="167" spans="1:20" s="210" customFormat="1" ht="15">
      <c r="A167" s="7" t="s">
        <v>367</v>
      </c>
      <c r="B167" s="8"/>
      <c r="C167" s="172">
        <v>35.68</v>
      </c>
      <c r="D167" s="9">
        <f>'Statistiques AFE 2009'!M57</f>
        <v>1863</v>
      </c>
      <c r="E167" s="9">
        <f>277+231</f>
        <v>508</v>
      </c>
      <c r="F167" s="57">
        <f t="shared" si="21"/>
        <v>0.2726784755770263</v>
      </c>
      <c r="G167" s="10">
        <f>216+157</f>
        <v>373</v>
      </c>
      <c r="H167" s="57">
        <f t="shared" si="22"/>
        <v>0.20021470746108427</v>
      </c>
      <c r="I167" s="10">
        <f>11+13</f>
        <v>24</v>
      </c>
      <c r="J167" s="57">
        <f t="shared" si="23"/>
        <v>0.01288244766505636</v>
      </c>
      <c r="K167" s="10">
        <f>355+304</f>
        <v>659</v>
      </c>
      <c r="L167" s="57">
        <f t="shared" si="24"/>
        <v>0.35373054213633925</v>
      </c>
      <c r="M167" s="10">
        <f>106+91</f>
        <v>197</v>
      </c>
      <c r="N167" s="57">
        <f t="shared" si="25"/>
        <v>0.10574342458400429</v>
      </c>
      <c r="O167" s="10">
        <f>40+46</f>
        <v>86</v>
      </c>
      <c r="P167" s="57">
        <f t="shared" si="26"/>
        <v>0.04616210413311862</v>
      </c>
      <c r="Q167" s="10">
        <f>7+10</f>
        <v>17</v>
      </c>
      <c r="R167" s="60">
        <f t="shared" si="27"/>
        <v>0.00912506709608159</v>
      </c>
      <c r="S167" s="198"/>
      <c r="T167" s="209"/>
    </row>
    <row r="168" spans="1:19" ht="15">
      <c r="A168" s="297" t="s">
        <v>368</v>
      </c>
      <c r="B168" s="298"/>
      <c r="C168" s="172">
        <v>25.3</v>
      </c>
      <c r="D168" s="9">
        <f>'Statistiques AFE 2009'!M58</f>
        <v>193</v>
      </c>
      <c r="E168" s="9">
        <v>45</v>
      </c>
      <c r="F168" s="57">
        <f t="shared" si="21"/>
        <v>0.23316062176165803</v>
      </c>
      <c r="G168" s="10">
        <v>13</v>
      </c>
      <c r="H168" s="57">
        <f t="shared" si="22"/>
        <v>0.06735751295336788</v>
      </c>
      <c r="I168" s="10">
        <v>25</v>
      </c>
      <c r="J168" s="57">
        <f t="shared" si="23"/>
        <v>0.12953367875647667</v>
      </c>
      <c r="K168" s="10">
        <v>6</v>
      </c>
      <c r="L168" s="57">
        <f t="shared" si="24"/>
        <v>0.031088082901554404</v>
      </c>
      <c r="M168" s="10">
        <v>43</v>
      </c>
      <c r="N168" s="57">
        <f t="shared" si="25"/>
        <v>0.22279792746113988</v>
      </c>
      <c r="O168" s="10">
        <v>53</v>
      </c>
      <c r="P168" s="57">
        <f t="shared" si="26"/>
        <v>0.27461139896373055</v>
      </c>
      <c r="Q168" s="10">
        <v>8</v>
      </c>
      <c r="R168" s="60">
        <f t="shared" si="27"/>
        <v>0.04145077720207254</v>
      </c>
      <c r="S168" s="198"/>
    </row>
    <row r="169" spans="1:19" ht="15">
      <c r="A169" s="297" t="s">
        <v>369</v>
      </c>
      <c r="B169" s="298"/>
      <c r="C169" s="172">
        <v>36.42</v>
      </c>
      <c r="D169" s="9">
        <f>'Statistiques AFE 2009'!M59</f>
        <v>108</v>
      </c>
      <c r="E169" s="9">
        <v>6</v>
      </c>
      <c r="F169" s="57">
        <f t="shared" si="21"/>
        <v>0.05555555555555555</v>
      </c>
      <c r="G169" s="10">
        <v>0</v>
      </c>
      <c r="H169" s="57">
        <f t="shared" si="22"/>
        <v>0</v>
      </c>
      <c r="I169" s="10">
        <v>3</v>
      </c>
      <c r="J169" s="57">
        <f t="shared" si="23"/>
        <v>0.027777777777777776</v>
      </c>
      <c r="K169" s="10">
        <v>60</v>
      </c>
      <c r="L169" s="57">
        <f t="shared" si="24"/>
        <v>0.5555555555555556</v>
      </c>
      <c r="M169" s="10">
        <v>33</v>
      </c>
      <c r="N169" s="57">
        <f t="shared" si="25"/>
        <v>0.3055555555555556</v>
      </c>
      <c r="O169" s="10">
        <v>5</v>
      </c>
      <c r="P169" s="57">
        <f t="shared" si="26"/>
        <v>0.046296296296296294</v>
      </c>
      <c r="Q169" s="10">
        <v>1</v>
      </c>
      <c r="R169" s="60">
        <f t="shared" si="27"/>
        <v>0.009259259259259259</v>
      </c>
      <c r="S169" s="198"/>
    </row>
    <row r="170" spans="1:19" s="212" customFormat="1" ht="15.75" thickBot="1">
      <c r="A170" s="235" t="s">
        <v>286</v>
      </c>
      <c r="B170" s="236"/>
      <c r="C170" s="171">
        <v>31.63</v>
      </c>
      <c r="D170" s="11">
        <f>SUM(D163:D169)</f>
        <v>5727</v>
      </c>
      <c r="E170" s="11">
        <f>SUM(E163:E169)</f>
        <v>1370</v>
      </c>
      <c r="F170" s="98">
        <f t="shared" si="21"/>
        <v>0.2392177405273267</v>
      </c>
      <c r="G170" s="12">
        <f>SUM(G163:G169)</f>
        <v>1175</v>
      </c>
      <c r="H170" s="98">
        <f t="shared" si="22"/>
        <v>0.20516850008730575</v>
      </c>
      <c r="I170" s="12">
        <f>SUM(I163:I169)</f>
        <v>434</v>
      </c>
      <c r="J170" s="98">
        <f t="shared" si="23"/>
        <v>0.07578138641522612</v>
      </c>
      <c r="K170" s="12">
        <f>SUM(K163:K169)</f>
        <v>1103</v>
      </c>
      <c r="L170" s="98">
        <f t="shared" si="24"/>
        <v>0.1925964728479134</v>
      </c>
      <c r="M170" s="12">
        <f>SUM(M163:M169)</f>
        <v>834</v>
      </c>
      <c r="N170" s="98">
        <f t="shared" si="25"/>
        <v>0.14562598218962808</v>
      </c>
      <c r="O170" s="12">
        <f>SUM(O163:O169)</f>
        <v>459</v>
      </c>
      <c r="P170" s="98">
        <f t="shared" si="26"/>
        <v>0.08014667365112624</v>
      </c>
      <c r="Q170" s="12">
        <f>SUM(Q163:Q169)</f>
        <v>353</v>
      </c>
      <c r="R170" s="99">
        <f t="shared" si="27"/>
        <v>0.06163785577090972</v>
      </c>
      <c r="S170" s="211"/>
    </row>
    <row r="171" spans="1:16" ht="15.75" thickTop="1">
      <c r="A171" s="296" t="s">
        <v>287</v>
      </c>
      <c r="B171" s="296"/>
      <c r="C171" s="136"/>
      <c r="D171" s="16"/>
      <c r="E171" s="199"/>
      <c r="F171" s="199"/>
      <c r="G171" s="199"/>
      <c r="H171" s="199"/>
      <c r="I171" s="199"/>
      <c r="J171" s="199"/>
      <c r="K171" s="199"/>
      <c r="L171" s="199"/>
      <c r="M171" s="199"/>
      <c r="N171" s="199"/>
      <c r="O171" s="199"/>
      <c r="P171" s="199"/>
    </row>
    <row r="172" spans="2:16" ht="15">
      <c r="B172" s="24" t="s">
        <v>618</v>
      </c>
      <c r="D172" s="19"/>
      <c r="E172" s="13"/>
      <c r="F172" s="13"/>
      <c r="G172" s="13"/>
      <c r="H172" s="322"/>
      <c r="I172" s="322"/>
      <c r="J172" s="322"/>
      <c r="K172" s="322"/>
      <c r="L172" s="322"/>
      <c r="M172" s="200"/>
      <c r="N172" s="200"/>
      <c r="O172" s="200"/>
      <c r="P172" s="200"/>
    </row>
    <row r="173" spans="2:16" ht="15">
      <c r="B173" s="24" t="s">
        <v>619</v>
      </c>
      <c r="D173" s="19"/>
      <c r="E173" s="19"/>
      <c r="F173" s="19"/>
      <c r="G173" s="19"/>
      <c r="H173" s="321"/>
      <c r="I173" s="321"/>
      <c r="J173" s="321"/>
      <c r="K173" s="321"/>
      <c r="L173" s="321"/>
      <c r="M173" s="321"/>
      <c r="N173" s="321"/>
      <c r="O173" s="321"/>
      <c r="P173" s="321"/>
    </row>
    <row r="174" spans="2:16" ht="15">
      <c r="B174" s="24" t="s">
        <v>620</v>
      </c>
      <c r="D174" s="19"/>
      <c r="E174" s="19"/>
      <c r="F174" s="19"/>
      <c r="G174" s="19"/>
      <c r="H174" s="19"/>
      <c r="I174" s="19"/>
      <c r="J174" s="19"/>
      <c r="K174" s="19"/>
      <c r="L174" s="19"/>
      <c r="M174" s="19"/>
      <c r="N174" s="19"/>
      <c r="O174" s="19"/>
      <c r="P174" s="19"/>
    </row>
    <row r="175" spans="2:16" ht="15">
      <c r="B175" s="24" t="s">
        <v>621</v>
      </c>
      <c r="D175" s="19"/>
      <c r="E175" s="19"/>
      <c r="F175" s="19"/>
      <c r="G175" s="19"/>
      <c r="H175" s="19"/>
      <c r="I175" s="19"/>
      <c r="J175" s="19"/>
      <c r="K175" s="19"/>
      <c r="L175" s="19"/>
      <c r="M175" s="19"/>
      <c r="N175" s="19"/>
      <c r="O175" s="19"/>
      <c r="P175" s="19"/>
    </row>
    <row r="176" spans="4:14" ht="15.75" thickBot="1">
      <c r="D176" s="19"/>
      <c r="E176" s="19"/>
      <c r="F176" s="19"/>
      <c r="G176" s="19"/>
      <c r="H176" s="19"/>
      <c r="I176" s="19"/>
      <c r="J176" s="19"/>
      <c r="K176" s="19"/>
      <c r="L176" s="19"/>
      <c r="M176" s="19"/>
      <c r="N176" s="19"/>
    </row>
    <row r="177" spans="1:19" ht="15.75" thickTop="1">
      <c r="A177" s="63" t="s">
        <v>370</v>
      </c>
      <c r="B177" s="20"/>
      <c r="C177" s="20"/>
      <c r="D177" s="20"/>
      <c r="E177" s="20"/>
      <c r="F177" s="20"/>
      <c r="G177" s="20"/>
      <c r="H177" s="20"/>
      <c r="I177" s="20"/>
      <c r="J177" s="20"/>
      <c r="K177" s="20"/>
      <c r="L177" s="20"/>
      <c r="M177" s="20"/>
      <c r="N177" s="21"/>
      <c r="S177" s="210"/>
    </row>
    <row r="178" spans="1:14" ht="65.25" customHeight="1">
      <c r="A178" s="301" t="s">
        <v>202</v>
      </c>
      <c r="B178" s="231"/>
      <c r="C178" s="302" t="s">
        <v>497</v>
      </c>
      <c r="D178" s="271" t="s">
        <v>283</v>
      </c>
      <c r="E178" s="232" t="s">
        <v>571</v>
      </c>
      <c r="F178" s="282"/>
      <c r="G178" s="340" t="s">
        <v>572</v>
      </c>
      <c r="H178" s="341"/>
      <c r="I178" s="232" t="s">
        <v>573</v>
      </c>
      <c r="J178" s="282"/>
      <c r="K178" s="232" t="s">
        <v>574</v>
      </c>
      <c r="L178" s="282"/>
      <c r="M178" s="232" t="s">
        <v>575</v>
      </c>
      <c r="N178" s="234"/>
    </row>
    <row r="179" spans="1:14" ht="25.5">
      <c r="A179" s="301"/>
      <c r="B179" s="231"/>
      <c r="C179" s="303"/>
      <c r="D179" s="271"/>
      <c r="E179" s="4" t="s">
        <v>284</v>
      </c>
      <c r="F179" s="26" t="s">
        <v>285</v>
      </c>
      <c r="G179" s="4" t="s">
        <v>284</v>
      </c>
      <c r="H179" s="4" t="s">
        <v>285</v>
      </c>
      <c r="I179" s="4" t="s">
        <v>284</v>
      </c>
      <c r="J179" s="4" t="s">
        <v>285</v>
      </c>
      <c r="K179" s="4" t="s">
        <v>284</v>
      </c>
      <c r="L179" s="4" t="s">
        <v>285</v>
      </c>
      <c r="M179" s="4" t="s">
        <v>284</v>
      </c>
      <c r="N179" s="59" t="s">
        <v>285</v>
      </c>
    </row>
    <row r="180" spans="1:15" ht="15">
      <c r="A180" s="297" t="s">
        <v>371</v>
      </c>
      <c r="B180" s="298"/>
      <c r="C180" s="172">
        <v>28.08</v>
      </c>
      <c r="D180" s="9">
        <f>'Statistiques AFE 2009'!M78</f>
        <v>360</v>
      </c>
      <c r="E180" s="9">
        <v>52</v>
      </c>
      <c r="F180" s="57">
        <f>E180/D180</f>
        <v>0.14444444444444443</v>
      </c>
      <c r="G180" s="10">
        <v>135</v>
      </c>
      <c r="H180" s="57">
        <f>G180/D180</f>
        <v>0.375</v>
      </c>
      <c r="I180" s="10">
        <v>0</v>
      </c>
      <c r="J180" s="57">
        <f>I180/D180</f>
        <v>0</v>
      </c>
      <c r="K180" s="10">
        <v>18</v>
      </c>
      <c r="L180" s="57">
        <f>K180/D180</f>
        <v>0.05</v>
      </c>
      <c r="M180" s="10">
        <v>155</v>
      </c>
      <c r="N180" s="60">
        <f>M180/D180</f>
        <v>0.4305555555555556</v>
      </c>
      <c r="O180" s="198"/>
    </row>
    <row r="181" spans="1:15" ht="15">
      <c r="A181" s="7" t="s">
        <v>372</v>
      </c>
      <c r="B181" s="8"/>
      <c r="C181" s="172">
        <v>35.39</v>
      </c>
      <c r="D181" s="9">
        <f>'Statistiques AFE 2009'!M81</f>
        <v>662</v>
      </c>
      <c r="E181" s="9">
        <f>148+144</f>
        <v>292</v>
      </c>
      <c r="F181" s="57">
        <f>E181/D181</f>
        <v>0.44108761329305135</v>
      </c>
      <c r="G181" s="10">
        <f>59+58</f>
        <v>117</v>
      </c>
      <c r="H181" s="57">
        <f>G181/D181</f>
        <v>0.17673716012084592</v>
      </c>
      <c r="I181" s="10">
        <f>7+2</f>
        <v>9</v>
      </c>
      <c r="J181" s="57">
        <f>I181/D181</f>
        <v>0.013595166163141994</v>
      </c>
      <c r="K181" s="10">
        <f>34+24</f>
        <v>58</v>
      </c>
      <c r="L181" s="57">
        <f>K181/D181</f>
        <v>0.08761329305135952</v>
      </c>
      <c r="M181" s="10">
        <f>95+91</f>
        <v>186</v>
      </c>
      <c r="N181" s="60">
        <f>M181/D181</f>
        <v>0.2809667673716012</v>
      </c>
      <c r="O181" s="198"/>
    </row>
    <row r="182" spans="1:15" ht="15">
      <c r="A182" s="299" t="s">
        <v>373</v>
      </c>
      <c r="B182" s="300"/>
      <c r="C182" s="173">
        <v>40</v>
      </c>
      <c r="D182" s="9">
        <f>'Statistiques AFE 2009'!M82</f>
        <v>72</v>
      </c>
      <c r="E182" s="9">
        <v>47</v>
      </c>
      <c r="F182" s="57">
        <f>E182/D182</f>
        <v>0.6527777777777778</v>
      </c>
      <c r="G182" s="10">
        <v>11</v>
      </c>
      <c r="H182" s="57">
        <f>G182/D182</f>
        <v>0.1527777777777778</v>
      </c>
      <c r="I182" s="10">
        <v>0</v>
      </c>
      <c r="J182" s="57">
        <f>I182/D182</f>
        <v>0</v>
      </c>
      <c r="K182" s="10">
        <v>6</v>
      </c>
      <c r="L182" s="57">
        <f>K182/D182</f>
        <v>0.08333333333333333</v>
      </c>
      <c r="M182" s="10">
        <v>8</v>
      </c>
      <c r="N182" s="60">
        <f>M182/D182</f>
        <v>0.1111111111111111</v>
      </c>
      <c r="O182" s="198"/>
    </row>
    <row r="183" spans="1:15" ht="15">
      <c r="A183" s="297" t="s">
        <v>374</v>
      </c>
      <c r="B183" s="298"/>
      <c r="C183" s="172">
        <v>30.79</v>
      </c>
      <c r="D183" s="9">
        <f>'Statistiques AFE 2009'!M83</f>
        <v>191</v>
      </c>
      <c r="E183" s="9">
        <v>33</v>
      </c>
      <c r="F183" s="57">
        <f>E183/D183</f>
        <v>0.17277486910994763</v>
      </c>
      <c r="G183" s="10">
        <v>41</v>
      </c>
      <c r="H183" s="57">
        <f>G183/D183</f>
        <v>0.21465968586387435</v>
      </c>
      <c r="I183" s="10">
        <v>107</v>
      </c>
      <c r="J183" s="57">
        <f>I183/D183</f>
        <v>0.5602094240837696</v>
      </c>
      <c r="K183" s="10">
        <v>2</v>
      </c>
      <c r="L183" s="57">
        <f>K183/D183</f>
        <v>0.010471204188481676</v>
      </c>
      <c r="M183" s="10">
        <v>8</v>
      </c>
      <c r="N183" s="60">
        <f>M183/D183</f>
        <v>0.041884816753926704</v>
      </c>
      <c r="O183" s="198"/>
    </row>
    <row r="184" spans="1:15" ht="15">
      <c r="A184" s="297" t="s">
        <v>375</v>
      </c>
      <c r="B184" s="298"/>
      <c r="C184" s="172">
        <v>22.18</v>
      </c>
      <c r="D184" s="9">
        <f>'Statistiques AFE 2009'!M84</f>
        <v>175</v>
      </c>
      <c r="E184" s="9">
        <v>43</v>
      </c>
      <c r="F184" s="57">
        <f>E184/D184</f>
        <v>0.24571428571428572</v>
      </c>
      <c r="G184" s="10">
        <v>80</v>
      </c>
      <c r="H184" s="57">
        <f>G184/D184</f>
        <v>0.45714285714285713</v>
      </c>
      <c r="I184" s="10">
        <v>41</v>
      </c>
      <c r="J184" s="57">
        <f>I184/D184</f>
        <v>0.2342857142857143</v>
      </c>
      <c r="K184" s="10">
        <v>8</v>
      </c>
      <c r="L184" s="57">
        <f>K184/D184</f>
        <v>0.045714285714285714</v>
      </c>
      <c r="M184" s="10">
        <v>3</v>
      </c>
      <c r="N184" s="60">
        <f>M184/D184</f>
        <v>0.017142857142857144</v>
      </c>
      <c r="O184" s="198"/>
    </row>
    <row r="185" spans="1:15" ht="15.75" thickBot="1">
      <c r="A185" s="235" t="s">
        <v>286</v>
      </c>
      <c r="B185" s="236"/>
      <c r="C185" s="171">
        <v>30.79</v>
      </c>
      <c r="D185" s="11">
        <f>SUM(D180:D184)</f>
        <v>1460</v>
      </c>
      <c r="E185" s="11">
        <f>SUM(E180:E184)</f>
        <v>467</v>
      </c>
      <c r="F185" s="58">
        <f>E185/$D$185</f>
        <v>0.3198630136986301</v>
      </c>
      <c r="G185" s="12">
        <f>SUM(G180:G184)</f>
        <v>384</v>
      </c>
      <c r="H185" s="58">
        <f>G185/$D$185</f>
        <v>0.26301369863013696</v>
      </c>
      <c r="I185" s="12">
        <f>SUM(I180:I184)</f>
        <v>157</v>
      </c>
      <c r="J185" s="58">
        <f>I185/$D$185</f>
        <v>0.10753424657534247</v>
      </c>
      <c r="K185" s="12">
        <f>SUM(K180:K184)</f>
        <v>92</v>
      </c>
      <c r="L185" s="58">
        <f>K185/$D$185</f>
        <v>0.06301369863013699</v>
      </c>
      <c r="M185" s="12">
        <f>SUM(M180:M184)</f>
        <v>360</v>
      </c>
      <c r="N185" s="61">
        <f>M185/$D$185</f>
        <v>0.2465753424657534</v>
      </c>
      <c r="O185" s="198"/>
    </row>
    <row r="186" spans="1:14" ht="15.75" thickTop="1">
      <c r="A186" s="296" t="s">
        <v>287</v>
      </c>
      <c r="B186" s="296"/>
      <c r="C186" s="136"/>
      <c r="D186" s="16"/>
      <c r="E186" s="199"/>
      <c r="F186" s="199"/>
      <c r="G186" s="199"/>
      <c r="H186" s="199"/>
      <c r="I186" s="199"/>
      <c r="J186" s="199"/>
      <c r="K186" s="199"/>
      <c r="L186" s="199"/>
      <c r="M186" s="199"/>
      <c r="N186" s="199"/>
    </row>
    <row r="187" spans="2:16" ht="15">
      <c r="B187" s="24" t="s">
        <v>622</v>
      </c>
      <c r="D187" s="19"/>
      <c r="E187" s="13"/>
      <c r="F187" s="13"/>
      <c r="G187" s="13"/>
      <c r="H187" s="322"/>
      <c r="I187" s="322"/>
      <c r="J187" s="322"/>
      <c r="K187" s="322"/>
      <c r="L187" s="322"/>
      <c r="M187" s="200"/>
      <c r="N187" s="200"/>
      <c r="O187" s="200"/>
      <c r="P187" s="200"/>
    </row>
    <row r="188" spans="2:16" ht="15">
      <c r="B188" s="24" t="s">
        <v>623</v>
      </c>
      <c r="D188" s="19"/>
      <c r="E188" s="19"/>
      <c r="F188" s="19"/>
      <c r="G188" s="19"/>
      <c r="H188" s="321"/>
      <c r="I188" s="321"/>
      <c r="J188" s="321"/>
      <c r="K188" s="321"/>
      <c r="L188" s="321"/>
      <c r="M188" s="321"/>
      <c r="N188" s="321"/>
      <c r="O188" s="321"/>
      <c r="P188" s="321"/>
    </row>
    <row r="189" spans="2:16" ht="15">
      <c r="B189" s="24" t="s">
        <v>624</v>
      </c>
      <c r="D189" s="19"/>
      <c r="E189" s="19"/>
      <c r="F189" s="19"/>
      <c r="G189" s="19"/>
      <c r="H189" s="19"/>
      <c r="I189" s="19"/>
      <c r="J189" s="19"/>
      <c r="K189" s="19"/>
      <c r="L189" s="19"/>
      <c r="M189" s="19"/>
      <c r="N189" s="19"/>
      <c r="O189" s="19"/>
      <c r="P189" s="19"/>
    </row>
    <row r="190" spans="2:16" ht="15">
      <c r="B190" s="24" t="s">
        <v>625</v>
      </c>
      <c r="D190" s="19"/>
      <c r="E190" s="19"/>
      <c r="F190" s="19"/>
      <c r="G190" s="19"/>
      <c r="H190" s="19"/>
      <c r="I190" s="19"/>
      <c r="J190" s="19"/>
      <c r="K190" s="19"/>
      <c r="L190" s="19"/>
      <c r="M190" s="19"/>
      <c r="N190" s="19"/>
      <c r="O190" s="19"/>
      <c r="P190" s="19"/>
    </row>
    <row r="191" spans="4:16" ht="15.75" thickBot="1">
      <c r="D191" s="19"/>
      <c r="E191" s="19"/>
      <c r="F191" s="19"/>
      <c r="G191" s="19"/>
      <c r="H191" s="321"/>
      <c r="I191" s="321"/>
      <c r="J191" s="321"/>
      <c r="K191" s="321"/>
      <c r="L191" s="321"/>
      <c r="M191" s="321"/>
      <c r="N191" s="321"/>
      <c r="O191" s="200"/>
      <c r="P191" s="200"/>
    </row>
    <row r="192" spans="1:12" ht="15.75" thickTop="1">
      <c r="A192" s="63" t="s">
        <v>376</v>
      </c>
      <c r="B192" s="20"/>
      <c r="C192" s="20"/>
      <c r="D192" s="20"/>
      <c r="E192" s="20"/>
      <c r="F192" s="20"/>
      <c r="G192" s="20"/>
      <c r="H192" s="20"/>
      <c r="I192" s="20"/>
      <c r="J192" s="20"/>
      <c r="K192" s="20"/>
      <c r="L192" s="21"/>
    </row>
    <row r="193" spans="1:12" ht="47.25" customHeight="1">
      <c r="A193" s="301" t="s">
        <v>202</v>
      </c>
      <c r="B193" s="231"/>
      <c r="C193" s="302" t="s">
        <v>497</v>
      </c>
      <c r="D193" s="271" t="s">
        <v>283</v>
      </c>
      <c r="E193" s="232" t="s">
        <v>576</v>
      </c>
      <c r="F193" s="282"/>
      <c r="G193" s="232" t="s">
        <v>577</v>
      </c>
      <c r="H193" s="282"/>
      <c r="I193" s="232" t="s">
        <v>578</v>
      </c>
      <c r="J193" s="282"/>
      <c r="K193" s="232" t="s">
        <v>579</v>
      </c>
      <c r="L193" s="234"/>
    </row>
    <row r="194" spans="1:12" ht="25.5">
      <c r="A194" s="301"/>
      <c r="B194" s="231"/>
      <c r="C194" s="303"/>
      <c r="D194" s="271"/>
      <c r="E194" s="4" t="s">
        <v>284</v>
      </c>
      <c r="F194" s="26" t="s">
        <v>285</v>
      </c>
      <c r="G194" s="4" t="s">
        <v>284</v>
      </c>
      <c r="H194" s="4" t="s">
        <v>285</v>
      </c>
      <c r="I194" s="4" t="s">
        <v>284</v>
      </c>
      <c r="J194" s="4" t="s">
        <v>285</v>
      </c>
      <c r="K194" s="4" t="s">
        <v>284</v>
      </c>
      <c r="L194" s="59" t="s">
        <v>285</v>
      </c>
    </row>
    <row r="195" spans="1:13" ht="15">
      <c r="A195" s="277" t="s">
        <v>377</v>
      </c>
      <c r="B195" s="278"/>
      <c r="C195" s="172">
        <v>28.78</v>
      </c>
      <c r="D195" s="9">
        <f>'Statistiques AFE 2009'!M91</f>
        <v>2978</v>
      </c>
      <c r="E195" s="9">
        <v>1101</v>
      </c>
      <c r="F195" s="57">
        <f>E195/D195</f>
        <v>0.3697112155809268</v>
      </c>
      <c r="G195" s="10">
        <v>354</v>
      </c>
      <c r="H195" s="57">
        <f>G195/D195</f>
        <v>0.11887172599059771</v>
      </c>
      <c r="I195" s="10">
        <v>561</v>
      </c>
      <c r="J195" s="57">
        <f>I195/D195</f>
        <v>0.18838146406984554</v>
      </c>
      <c r="K195" s="10">
        <v>962</v>
      </c>
      <c r="L195" s="60">
        <f>K195/D195</f>
        <v>0.32303559435862994</v>
      </c>
      <c r="M195" s="198"/>
    </row>
    <row r="196" spans="1:13" ht="15">
      <c r="A196" s="279" t="s">
        <v>378</v>
      </c>
      <c r="B196" s="280"/>
      <c r="C196" s="173">
        <v>34.54</v>
      </c>
      <c r="D196" s="9">
        <f>'Statistiques AFE 2009'!M92</f>
        <v>236</v>
      </c>
      <c r="E196" s="9">
        <v>156</v>
      </c>
      <c r="F196" s="57">
        <f>E196/D196</f>
        <v>0.6610169491525424</v>
      </c>
      <c r="G196" s="10">
        <v>15</v>
      </c>
      <c r="H196" s="57">
        <f>G196/D196</f>
        <v>0.0635593220338983</v>
      </c>
      <c r="I196" s="10">
        <v>55</v>
      </c>
      <c r="J196" s="57">
        <f>I196/D196</f>
        <v>0.2330508474576271</v>
      </c>
      <c r="K196" s="10">
        <v>10</v>
      </c>
      <c r="L196" s="60">
        <f>K196/D196</f>
        <v>0.0423728813559322</v>
      </c>
      <c r="M196" s="198"/>
    </row>
    <row r="197" spans="1:13" ht="15">
      <c r="A197" s="279" t="s">
        <v>379</v>
      </c>
      <c r="B197" s="280"/>
      <c r="C197" s="173">
        <v>33.33</v>
      </c>
      <c r="D197" s="9">
        <f>'Statistiques AFE 2009'!M93</f>
        <v>31</v>
      </c>
      <c r="E197" s="9">
        <v>20</v>
      </c>
      <c r="F197" s="57">
        <f>E197/D197</f>
        <v>0.6451612903225806</v>
      </c>
      <c r="G197" s="10">
        <v>3</v>
      </c>
      <c r="H197" s="57">
        <f>G197/D197</f>
        <v>0.0967741935483871</v>
      </c>
      <c r="I197" s="10">
        <v>1</v>
      </c>
      <c r="J197" s="57">
        <f>I197/D197</f>
        <v>0.03225806451612903</v>
      </c>
      <c r="K197" s="10">
        <v>7</v>
      </c>
      <c r="L197" s="60">
        <f>K197/D197</f>
        <v>0.22580645161290322</v>
      </c>
      <c r="M197" s="198"/>
    </row>
    <row r="198" spans="1:13" ht="15">
      <c r="A198" s="277" t="s">
        <v>380</v>
      </c>
      <c r="B198" s="278"/>
      <c r="C198" s="172">
        <v>21.85</v>
      </c>
      <c r="D198" s="9">
        <f>'Statistiques AFE 2009'!M94</f>
        <v>319</v>
      </c>
      <c r="E198" s="9">
        <v>160</v>
      </c>
      <c r="F198" s="57">
        <f>E198/D198</f>
        <v>0.5015673981191222</v>
      </c>
      <c r="G198" s="10">
        <v>21</v>
      </c>
      <c r="H198" s="57">
        <f>G198/D198</f>
        <v>0.06583072100313479</v>
      </c>
      <c r="I198" s="10">
        <v>26</v>
      </c>
      <c r="J198" s="57">
        <f>I198/D198</f>
        <v>0.08150470219435736</v>
      </c>
      <c r="K198" s="10">
        <v>112</v>
      </c>
      <c r="L198" s="60">
        <f>K198/D198</f>
        <v>0.3510971786833856</v>
      </c>
      <c r="M198" s="198"/>
    </row>
    <row r="199" spans="1:13" ht="15">
      <c r="A199" s="277" t="s">
        <v>381</v>
      </c>
      <c r="B199" s="278"/>
      <c r="C199" s="172">
        <v>29.78</v>
      </c>
      <c r="D199" s="9">
        <f>'Statistiques AFE 2009'!M95</f>
        <v>62</v>
      </c>
      <c r="E199" s="9">
        <v>26</v>
      </c>
      <c r="F199" s="57">
        <f>E199/D199</f>
        <v>0.41935483870967744</v>
      </c>
      <c r="G199" s="10">
        <v>11</v>
      </c>
      <c r="H199" s="57">
        <f>G199/D199</f>
        <v>0.1774193548387097</v>
      </c>
      <c r="I199" s="10">
        <v>2</v>
      </c>
      <c r="J199" s="57">
        <f>I199/D199</f>
        <v>0.03225806451612903</v>
      </c>
      <c r="K199" s="10">
        <v>23</v>
      </c>
      <c r="L199" s="60">
        <f>K199/D199</f>
        <v>0.3709677419354839</v>
      </c>
      <c r="M199" s="198"/>
    </row>
    <row r="200" spans="1:13" ht="15.75" thickBot="1">
      <c r="A200" s="235" t="s">
        <v>286</v>
      </c>
      <c r="B200" s="236"/>
      <c r="C200" s="171">
        <v>28.41</v>
      </c>
      <c r="D200" s="11">
        <f>SUM(D195:D199)</f>
        <v>3626</v>
      </c>
      <c r="E200" s="11">
        <f>SUM(E195:E199)</f>
        <v>1463</v>
      </c>
      <c r="F200" s="58">
        <f>E200/$D$200</f>
        <v>0.4034749034749035</v>
      </c>
      <c r="G200" s="12">
        <f>SUM(G195:G199)</f>
        <v>404</v>
      </c>
      <c r="H200" s="58">
        <f>G200/$D$200</f>
        <v>0.11141753998896856</v>
      </c>
      <c r="I200" s="12">
        <f>SUM(I195:I199)</f>
        <v>645</v>
      </c>
      <c r="J200" s="58">
        <f>I200/$D$200</f>
        <v>0.1778819635962493</v>
      </c>
      <c r="K200" s="12">
        <f>SUM(K195:K199)</f>
        <v>1114</v>
      </c>
      <c r="L200" s="61">
        <f>K200/$D$200</f>
        <v>0.30722559293987867</v>
      </c>
      <c r="M200" s="198"/>
    </row>
    <row r="201" spans="1:12" ht="15.75" thickTop="1">
      <c r="A201" s="296" t="s">
        <v>287</v>
      </c>
      <c r="B201" s="296"/>
      <c r="C201" s="136"/>
      <c r="D201" s="16"/>
      <c r="E201" s="199"/>
      <c r="F201" s="199"/>
      <c r="G201" s="199"/>
      <c r="H201" s="199"/>
      <c r="I201" s="199"/>
      <c r="J201" s="199"/>
      <c r="K201" s="199"/>
      <c r="L201" s="199"/>
    </row>
    <row r="202" spans="2:16" ht="15">
      <c r="B202" s="24" t="s">
        <v>626</v>
      </c>
      <c r="D202" s="19"/>
      <c r="E202" s="13"/>
      <c r="F202" s="13"/>
      <c r="G202" s="13"/>
      <c r="H202" s="322"/>
      <c r="I202" s="322"/>
      <c r="J202" s="322"/>
      <c r="K202" s="322"/>
      <c r="L202" s="322"/>
      <c r="M202" s="200"/>
      <c r="N202" s="200"/>
      <c r="O202" s="200"/>
      <c r="P202" s="200"/>
    </row>
    <row r="203" spans="2:16" ht="15">
      <c r="B203" s="24" t="s">
        <v>627</v>
      </c>
      <c r="D203" s="19"/>
      <c r="E203" s="19"/>
      <c r="F203" s="19"/>
      <c r="G203" s="19"/>
      <c r="H203" s="321"/>
      <c r="I203" s="321"/>
      <c r="J203" s="321"/>
      <c r="K203" s="321"/>
      <c r="L203" s="321"/>
      <c r="M203" s="321"/>
      <c r="N203" s="321"/>
      <c r="O203" s="321"/>
      <c r="P203" s="321"/>
    </row>
    <row r="204" spans="2:16" ht="15">
      <c r="B204" s="24" t="s">
        <v>628</v>
      </c>
      <c r="D204" s="19"/>
      <c r="E204" s="19"/>
      <c r="F204" s="19"/>
      <c r="G204" s="19"/>
      <c r="H204" s="19"/>
      <c r="I204" s="19"/>
      <c r="J204" s="19"/>
      <c r="K204" s="19"/>
      <c r="L204" s="19"/>
      <c r="M204" s="19"/>
      <c r="N204" s="19"/>
      <c r="O204" s="19"/>
      <c r="P204" s="19"/>
    </row>
    <row r="205" spans="2:16" ht="15">
      <c r="B205" s="24" t="s">
        <v>629</v>
      </c>
      <c r="D205" s="19"/>
      <c r="E205" s="19"/>
      <c r="F205" s="19"/>
      <c r="G205" s="19"/>
      <c r="H205" s="19"/>
      <c r="I205" s="19"/>
      <c r="J205" s="19"/>
      <c r="K205" s="19"/>
      <c r="L205" s="19"/>
      <c r="M205" s="19"/>
      <c r="N205" s="19"/>
      <c r="O205" s="19"/>
      <c r="P205" s="19"/>
    </row>
    <row r="206" spans="4:16" ht="15.75" thickBot="1">
      <c r="D206" s="19"/>
      <c r="E206" s="19"/>
      <c r="F206" s="19"/>
      <c r="G206" s="19"/>
      <c r="H206" s="321"/>
      <c r="I206" s="321"/>
      <c r="J206" s="321"/>
      <c r="K206" s="321"/>
      <c r="L206" s="321"/>
      <c r="M206" s="321"/>
      <c r="N206" s="321"/>
      <c r="O206" s="200"/>
      <c r="P206" s="200"/>
    </row>
    <row r="207" spans="1:8" ht="15.75" thickTop="1">
      <c r="A207" s="63" t="s">
        <v>382</v>
      </c>
      <c r="B207" s="20"/>
      <c r="C207" s="20"/>
      <c r="D207" s="20"/>
      <c r="E207" s="20"/>
      <c r="F207" s="20"/>
      <c r="G207" s="20"/>
      <c r="H207" s="21"/>
    </row>
    <row r="208" spans="1:8" ht="62.25" customHeight="1">
      <c r="A208" s="301" t="s">
        <v>202</v>
      </c>
      <c r="B208" s="231"/>
      <c r="C208" s="302" t="s">
        <v>497</v>
      </c>
      <c r="D208" s="271" t="s">
        <v>283</v>
      </c>
      <c r="E208" s="232" t="s">
        <v>580</v>
      </c>
      <c r="F208" s="282"/>
      <c r="G208" s="232" t="s">
        <v>536</v>
      </c>
      <c r="H208" s="234"/>
    </row>
    <row r="209" spans="1:8" ht="25.5">
      <c r="A209" s="301"/>
      <c r="B209" s="231"/>
      <c r="C209" s="303"/>
      <c r="D209" s="271"/>
      <c r="E209" s="4" t="s">
        <v>284</v>
      </c>
      <c r="F209" s="26" t="s">
        <v>285</v>
      </c>
      <c r="G209" s="4" t="s">
        <v>284</v>
      </c>
      <c r="H209" s="59" t="s">
        <v>285</v>
      </c>
    </row>
    <row r="210" spans="1:9" ht="15">
      <c r="A210" s="297" t="s">
        <v>383</v>
      </c>
      <c r="B210" s="298"/>
      <c r="C210" s="172">
        <v>19.14</v>
      </c>
      <c r="D210" s="9">
        <f>'Statistiques AFE 2009'!M103</f>
        <v>611</v>
      </c>
      <c r="E210" s="9">
        <f>125+221</f>
        <v>346</v>
      </c>
      <c r="F210" s="57">
        <f>E210/D210</f>
        <v>0.5662847790507365</v>
      </c>
      <c r="G210" s="10">
        <f>126+139</f>
        <v>265</v>
      </c>
      <c r="H210" s="60">
        <f>G210/D210</f>
        <v>0.4337152209492635</v>
      </c>
      <c r="I210" s="198"/>
    </row>
    <row r="211" spans="1:9" ht="15">
      <c r="A211" s="297" t="s">
        <v>384</v>
      </c>
      <c r="B211" s="298"/>
      <c r="C211" s="172">
        <v>25.37</v>
      </c>
      <c r="D211" s="9">
        <f>'Statistiques AFE 2009'!M104</f>
        <v>213</v>
      </c>
      <c r="E211" s="9">
        <v>124</v>
      </c>
      <c r="F211" s="57">
        <f>E211/D211</f>
        <v>0.5821596244131455</v>
      </c>
      <c r="G211" s="10">
        <v>89</v>
      </c>
      <c r="H211" s="60">
        <f>G211/D211</f>
        <v>0.41784037558685444</v>
      </c>
      <c r="I211" s="198"/>
    </row>
    <row r="212" spans="1:9" ht="15">
      <c r="A212" s="297" t="s">
        <v>385</v>
      </c>
      <c r="B212" s="298"/>
      <c r="C212" s="172">
        <v>28.29</v>
      </c>
      <c r="D212" s="9">
        <f>'Statistiques AFE 2009'!M105</f>
        <v>589</v>
      </c>
      <c r="E212" s="9">
        <v>312</v>
      </c>
      <c r="F212" s="57">
        <f>E212/D212</f>
        <v>0.5297113752122241</v>
      </c>
      <c r="G212" s="10">
        <v>277</v>
      </c>
      <c r="H212" s="60">
        <f>G212/D212</f>
        <v>0.4702886247877759</v>
      </c>
      <c r="I212" s="198"/>
    </row>
    <row r="213" spans="1:9" ht="15.75" thickBot="1">
      <c r="A213" s="235" t="s">
        <v>286</v>
      </c>
      <c r="B213" s="236"/>
      <c r="C213" s="171">
        <v>23.11</v>
      </c>
      <c r="D213" s="11">
        <f>SUM(D210:D212)</f>
        <v>1413</v>
      </c>
      <c r="E213" s="11">
        <f>SUM(E210:E212)</f>
        <v>782</v>
      </c>
      <c r="F213" s="58">
        <f>E213/D213</f>
        <v>0.5534324133050248</v>
      </c>
      <c r="G213" s="12">
        <f>SUM(G210:G212)</f>
        <v>631</v>
      </c>
      <c r="H213" s="61">
        <f>G213/D213</f>
        <v>0.4465675866949752</v>
      </c>
      <c r="I213" s="198"/>
    </row>
    <row r="214" spans="1:8" ht="15.75" thickTop="1">
      <c r="A214" s="296" t="s">
        <v>287</v>
      </c>
      <c r="B214" s="296"/>
      <c r="C214" s="136"/>
      <c r="D214" s="16"/>
      <c r="E214" s="199"/>
      <c r="F214" s="199"/>
      <c r="G214" s="199"/>
      <c r="H214" s="199"/>
    </row>
    <row r="215" spans="2:16" ht="15">
      <c r="B215" s="24" t="s">
        <v>630</v>
      </c>
      <c r="D215" s="19"/>
      <c r="E215" s="13"/>
      <c r="F215" s="13"/>
      <c r="G215" s="13"/>
      <c r="H215" s="322"/>
      <c r="I215" s="322"/>
      <c r="J215" s="322"/>
      <c r="K215" s="322"/>
      <c r="L215" s="322"/>
      <c r="M215" s="200"/>
      <c r="N215" s="200"/>
      <c r="O215" s="200"/>
      <c r="P215" s="200"/>
    </row>
    <row r="216" spans="2:16" ht="15">
      <c r="B216" s="24" t="s">
        <v>631</v>
      </c>
      <c r="D216" s="19"/>
      <c r="E216" s="19"/>
      <c r="F216" s="19"/>
      <c r="G216" s="19"/>
      <c r="H216" s="321"/>
      <c r="I216" s="321"/>
      <c r="J216" s="321"/>
      <c r="K216" s="321"/>
      <c r="L216" s="321"/>
      <c r="M216" s="321"/>
      <c r="N216" s="321"/>
      <c r="O216" s="321"/>
      <c r="P216" s="321"/>
    </row>
    <row r="217" spans="2:16" ht="15">
      <c r="B217" s="24" t="s">
        <v>632</v>
      </c>
      <c r="D217" s="19"/>
      <c r="E217" s="19"/>
      <c r="F217" s="19"/>
      <c r="G217" s="19"/>
      <c r="H217" s="19"/>
      <c r="I217" s="19"/>
      <c r="J217" s="19"/>
      <c r="K217" s="19"/>
      <c r="L217" s="19"/>
      <c r="M217" s="19"/>
      <c r="N217" s="19"/>
      <c r="O217" s="19"/>
      <c r="P217" s="19"/>
    </row>
    <row r="218" spans="4:16" ht="15.75" thickBot="1">
      <c r="D218" s="19"/>
      <c r="E218" s="19"/>
      <c r="F218" s="19"/>
      <c r="G218" s="19"/>
      <c r="H218" s="321"/>
      <c r="I218" s="321"/>
      <c r="J218" s="321"/>
      <c r="K218" s="321"/>
      <c r="L218" s="321"/>
      <c r="M218" s="321"/>
      <c r="N218" s="321"/>
      <c r="O218" s="200"/>
      <c r="P218" s="200"/>
    </row>
    <row r="219" spans="1:16" ht="15.75" thickTop="1">
      <c r="A219" s="63" t="s">
        <v>386</v>
      </c>
      <c r="B219" s="20"/>
      <c r="C219" s="20"/>
      <c r="D219" s="20"/>
      <c r="E219" s="20"/>
      <c r="F219" s="20"/>
      <c r="G219" s="20"/>
      <c r="H219" s="20"/>
      <c r="I219" s="20"/>
      <c r="J219" s="20"/>
      <c r="K219" s="20"/>
      <c r="L219" s="20"/>
      <c r="M219" s="20"/>
      <c r="N219" s="20"/>
      <c r="O219" s="20"/>
      <c r="P219" s="21"/>
    </row>
    <row r="220" spans="1:16" ht="69" customHeight="1">
      <c r="A220" s="301" t="s">
        <v>202</v>
      </c>
      <c r="B220" s="231"/>
      <c r="C220" s="302" t="s">
        <v>497</v>
      </c>
      <c r="D220" s="271" t="s">
        <v>283</v>
      </c>
      <c r="E220" s="232" t="s">
        <v>581</v>
      </c>
      <c r="F220" s="282"/>
      <c r="G220" s="232" t="s">
        <v>582</v>
      </c>
      <c r="H220" s="282"/>
      <c r="I220" s="232" t="s">
        <v>583</v>
      </c>
      <c r="J220" s="282"/>
      <c r="K220" s="232" t="s">
        <v>584</v>
      </c>
      <c r="L220" s="282"/>
      <c r="M220" s="232" t="s">
        <v>585</v>
      </c>
      <c r="N220" s="282"/>
      <c r="O220" s="232" t="s">
        <v>586</v>
      </c>
      <c r="P220" s="234"/>
    </row>
    <row r="221" spans="1:16" ht="25.5">
      <c r="A221" s="301"/>
      <c r="B221" s="231"/>
      <c r="C221" s="303"/>
      <c r="D221" s="271"/>
      <c r="E221" s="4" t="s">
        <v>284</v>
      </c>
      <c r="F221" s="26" t="s">
        <v>285</v>
      </c>
      <c r="G221" s="4" t="s">
        <v>284</v>
      </c>
      <c r="H221" s="4" t="s">
        <v>285</v>
      </c>
      <c r="I221" s="4" t="s">
        <v>284</v>
      </c>
      <c r="J221" s="4" t="s">
        <v>285</v>
      </c>
      <c r="K221" s="4" t="s">
        <v>284</v>
      </c>
      <c r="L221" s="4" t="s">
        <v>285</v>
      </c>
      <c r="M221" s="4" t="s">
        <v>284</v>
      </c>
      <c r="N221" s="4" t="s">
        <v>285</v>
      </c>
      <c r="O221" s="4" t="s">
        <v>284</v>
      </c>
      <c r="P221" s="59" t="s">
        <v>285</v>
      </c>
    </row>
    <row r="222" spans="1:17" ht="15">
      <c r="A222" s="297" t="s">
        <v>389</v>
      </c>
      <c r="B222" s="298"/>
      <c r="C222" s="172">
        <v>31.77</v>
      </c>
      <c r="D222" s="9">
        <f>'Statistiques AFE 2009'!M110</f>
        <v>2211</v>
      </c>
      <c r="E222" s="9">
        <f>164+171</f>
        <v>335</v>
      </c>
      <c r="F222" s="57">
        <f>E222/D222</f>
        <v>0.15151515151515152</v>
      </c>
      <c r="G222" s="10">
        <f>178+175</f>
        <v>353</v>
      </c>
      <c r="H222" s="57">
        <f>G222/D222</f>
        <v>0.15965626413387607</v>
      </c>
      <c r="I222" s="10">
        <f>151+155</f>
        <v>306</v>
      </c>
      <c r="J222" s="57">
        <f>I222/D222</f>
        <v>0.1383989145183175</v>
      </c>
      <c r="K222" s="10">
        <f>176+143</f>
        <v>319</v>
      </c>
      <c r="L222" s="57">
        <f>K222/D222</f>
        <v>0.14427860696517414</v>
      </c>
      <c r="M222" s="10">
        <f>331+323</f>
        <v>654</v>
      </c>
      <c r="N222" s="57">
        <f>M222/D222</f>
        <v>0.29579375848032563</v>
      </c>
      <c r="O222" s="10">
        <f>121+123</f>
        <v>244</v>
      </c>
      <c r="P222" s="60">
        <f>O222/D222</f>
        <v>0.11035730438715513</v>
      </c>
      <c r="Q222" s="198"/>
    </row>
    <row r="223" spans="1:17" ht="15.75" thickBot="1">
      <c r="A223" s="235" t="s">
        <v>286</v>
      </c>
      <c r="B223" s="236"/>
      <c r="C223" s="171">
        <v>31.77</v>
      </c>
      <c r="D223" s="11">
        <f>D222</f>
        <v>2211</v>
      </c>
      <c r="E223" s="11">
        <f>E222</f>
        <v>335</v>
      </c>
      <c r="F223" s="28">
        <f>E223/D223</f>
        <v>0.15151515151515152</v>
      </c>
      <c r="G223" s="11">
        <f>G222</f>
        <v>353</v>
      </c>
      <c r="H223" s="28">
        <f>G223/D223</f>
        <v>0.15965626413387607</v>
      </c>
      <c r="I223" s="11">
        <f>I222</f>
        <v>306</v>
      </c>
      <c r="J223" s="28">
        <f>I223/D223</f>
        <v>0.1383989145183175</v>
      </c>
      <c r="K223" s="11">
        <f>K222</f>
        <v>319</v>
      </c>
      <c r="L223" s="28">
        <f>K223/D223</f>
        <v>0.14427860696517414</v>
      </c>
      <c r="M223" s="11">
        <f>M222</f>
        <v>654</v>
      </c>
      <c r="N223" s="28">
        <f>M223/D223</f>
        <v>0.29579375848032563</v>
      </c>
      <c r="O223" s="11">
        <f>O222</f>
        <v>244</v>
      </c>
      <c r="P223" s="29">
        <f>O223/D223</f>
        <v>0.11035730438715513</v>
      </c>
      <c r="Q223" s="198"/>
    </row>
    <row r="224" spans="1:16" ht="15.75" thickTop="1">
      <c r="A224" s="296" t="s">
        <v>287</v>
      </c>
      <c r="B224" s="296"/>
      <c r="C224" s="136"/>
      <c r="D224" s="16"/>
      <c r="E224" s="199"/>
      <c r="F224" s="199"/>
      <c r="G224" s="199"/>
      <c r="H224" s="199"/>
      <c r="I224" s="199"/>
      <c r="J224" s="199"/>
      <c r="K224" s="199"/>
      <c r="L224" s="199"/>
      <c r="M224" s="199"/>
      <c r="N224" s="199"/>
      <c r="O224" s="199"/>
      <c r="P224" s="199"/>
    </row>
    <row r="225" spans="2:16" ht="15">
      <c r="B225" s="24" t="s">
        <v>633</v>
      </c>
      <c r="D225" s="19"/>
      <c r="E225" s="13"/>
      <c r="F225" s="13"/>
      <c r="G225" s="13"/>
      <c r="H225" s="322"/>
      <c r="I225" s="322"/>
      <c r="J225" s="322"/>
      <c r="K225" s="322"/>
      <c r="L225" s="322"/>
      <c r="M225" s="200"/>
      <c r="N225" s="200"/>
      <c r="O225" s="200"/>
      <c r="P225" s="200"/>
    </row>
    <row r="226" spans="2:16" ht="15">
      <c r="B226" s="24" t="s">
        <v>634</v>
      </c>
      <c r="D226" s="19"/>
      <c r="E226" s="13"/>
      <c r="F226" s="13"/>
      <c r="G226" s="13"/>
      <c r="H226" s="13"/>
      <c r="I226" s="13"/>
      <c r="J226" s="13"/>
      <c r="K226" s="13"/>
      <c r="L226" s="13"/>
      <c r="M226" s="200"/>
      <c r="N226" s="200"/>
      <c r="O226" s="200"/>
      <c r="P226" s="200"/>
    </row>
    <row r="227" spans="2:16" ht="15">
      <c r="B227" s="24" t="s">
        <v>635</v>
      </c>
      <c r="D227" s="19"/>
      <c r="E227" s="19"/>
      <c r="F227" s="19"/>
      <c r="G227" s="19"/>
      <c r="H227" s="321"/>
      <c r="I227" s="321"/>
      <c r="J227" s="321"/>
      <c r="K227" s="321"/>
      <c r="L227" s="321"/>
      <c r="M227" s="321"/>
      <c r="N227" s="321"/>
      <c r="O227" s="321"/>
      <c r="P227" s="321"/>
    </row>
    <row r="228" spans="2:16" ht="15">
      <c r="B228" s="24" t="s">
        <v>636</v>
      </c>
      <c r="D228" s="19"/>
      <c r="E228" s="19"/>
      <c r="F228" s="19"/>
      <c r="G228" s="19"/>
      <c r="H228" s="19"/>
      <c r="I228" s="19"/>
      <c r="J228" s="19"/>
      <c r="K228" s="19"/>
      <c r="L228" s="19"/>
      <c r="M228" s="19"/>
      <c r="N228" s="19"/>
      <c r="O228" s="19"/>
      <c r="P228" s="19"/>
    </row>
    <row r="229" spans="4:16" ht="15.75" thickBot="1">
      <c r="D229" s="19"/>
      <c r="E229" s="19"/>
      <c r="F229" s="19"/>
      <c r="G229" s="19"/>
      <c r="H229" s="321"/>
      <c r="I229" s="321"/>
      <c r="J229" s="321"/>
      <c r="K229" s="321"/>
      <c r="L229" s="321"/>
      <c r="M229" s="321"/>
      <c r="N229" s="321"/>
      <c r="O229" s="200"/>
      <c r="P229" s="200"/>
    </row>
    <row r="230" spans="1:10" ht="15.75" thickTop="1">
      <c r="A230" s="63" t="s">
        <v>387</v>
      </c>
      <c r="B230" s="20"/>
      <c r="C230" s="20"/>
      <c r="D230" s="20"/>
      <c r="E230" s="20"/>
      <c r="F230" s="20"/>
      <c r="G230" s="20"/>
      <c r="H230" s="20"/>
      <c r="I230" s="20"/>
      <c r="J230" s="21"/>
    </row>
    <row r="231" spans="1:10" ht="55.5" customHeight="1">
      <c r="A231" s="301" t="s">
        <v>202</v>
      </c>
      <c r="B231" s="231"/>
      <c r="C231" s="302" t="s">
        <v>497</v>
      </c>
      <c r="D231" s="271" t="s">
        <v>283</v>
      </c>
      <c r="E231" s="232" t="s">
        <v>587</v>
      </c>
      <c r="F231" s="282"/>
      <c r="G231" s="232" t="s">
        <v>588</v>
      </c>
      <c r="H231" s="282"/>
      <c r="I231" s="232" t="s">
        <v>589</v>
      </c>
      <c r="J231" s="234"/>
    </row>
    <row r="232" spans="1:10" ht="25.5">
      <c r="A232" s="301"/>
      <c r="B232" s="231"/>
      <c r="C232" s="303"/>
      <c r="D232" s="271"/>
      <c r="E232" s="4" t="s">
        <v>284</v>
      </c>
      <c r="F232" s="26" t="s">
        <v>285</v>
      </c>
      <c r="G232" s="4" t="s">
        <v>284</v>
      </c>
      <c r="H232" s="4" t="s">
        <v>285</v>
      </c>
      <c r="I232" s="4" t="s">
        <v>284</v>
      </c>
      <c r="J232" s="59" t="s">
        <v>285</v>
      </c>
    </row>
    <row r="233" spans="1:11" ht="15">
      <c r="A233" s="297" t="s">
        <v>388</v>
      </c>
      <c r="B233" s="298"/>
      <c r="C233" s="172">
        <v>21.32</v>
      </c>
      <c r="D233" s="9">
        <f>'Statistiques AFE 2009'!M122</f>
        <v>1063</v>
      </c>
      <c r="E233" s="9">
        <f>136+135+4</f>
        <v>275</v>
      </c>
      <c r="F233" s="57">
        <f>E233/D233</f>
        <v>0.25870178739416744</v>
      </c>
      <c r="G233" s="10">
        <f>196+191+6</f>
        <v>393</v>
      </c>
      <c r="H233" s="57">
        <f>G233/D233</f>
        <v>0.36970837253057387</v>
      </c>
      <c r="I233" s="10">
        <f>196+166+33</f>
        <v>395</v>
      </c>
      <c r="J233" s="60">
        <f>I233/D233</f>
        <v>0.3715898400752587</v>
      </c>
      <c r="K233" s="198"/>
    </row>
    <row r="234" spans="1:11" ht="15">
      <c r="A234" s="297" t="s">
        <v>390</v>
      </c>
      <c r="B234" s="298"/>
      <c r="C234" s="172">
        <v>15.46</v>
      </c>
      <c r="D234" s="9">
        <f>'Statistiques AFE 2009'!M123</f>
        <v>235</v>
      </c>
      <c r="E234" s="9">
        <v>88</v>
      </c>
      <c r="F234" s="57">
        <f>E234/D234</f>
        <v>0.37446808510638296</v>
      </c>
      <c r="G234" s="10">
        <v>39</v>
      </c>
      <c r="H234" s="57">
        <f>G234/D234</f>
        <v>0.16595744680851063</v>
      </c>
      <c r="I234" s="10">
        <v>108</v>
      </c>
      <c r="J234" s="60">
        <f>I234/D234</f>
        <v>0.4595744680851064</v>
      </c>
      <c r="K234" s="198"/>
    </row>
    <row r="235" spans="1:11" ht="15">
      <c r="A235" s="297" t="s">
        <v>391</v>
      </c>
      <c r="B235" s="298"/>
      <c r="C235" s="172">
        <v>19.22</v>
      </c>
      <c r="D235" s="9">
        <f>'Statistiques AFE 2009'!M124</f>
        <v>57</v>
      </c>
      <c r="E235" s="9">
        <v>11</v>
      </c>
      <c r="F235" s="57">
        <f>E235/D235</f>
        <v>0.19298245614035087</v>
      </c>
      <c r="G235" s="10">
        <v>39</v>
      </c>
      <c r="H235" s="57">
        <f>G235/D235</f>
        <v>0.6842105263157895</v>
      </c>
      <c r="I235" s="10">
        <v>7</v>
      </c>
      <c r="J235" s="60">
        <f>I235/D235</f>
        <v>0.12280701754385964</v>
      </c>
      <c r="K235" s="198"/>
    </row>
    <row r="236" spans="1:11" ht="15.75" thickBot="1">
      <c r="A236" s="235" t="s">
        <v>286</v>
      </c>
      <c r="B236" s="236"/>
      <c r="C236" s="171">
        <v>19.94</v>
      </c>
      <c r="D236" s="11">
        <f>SUM(D233:D235)</f>
        <v>1355</v>
      </c>
      <c r="E236" s="11">
        <f>SUM(E233:E235)</f>
        <v>374</v>
      </c>
      <c r="F236" s="58">
        <f>E236/D236</f>
        <v>0.27601476014760146</v>
      </c>
      <c r="G236" s="12">
        <f>SUM(G233:G235)</f>
        <v>471</v>
      </c>
      <c r="H236" s="58">
        <f>G236/D236</f>
        <v>0.34760147601476016</v>
      </c>
      <c r="I236" s="12">
        <f>SUM(I233:I235)</f>
        <v>510</v>
      </c>
      <c r="J236" s="61">
        <f>I236/D236</f>
        <v>0.3763837638376384</v>
      </c>
      <c r="K236" s="198"/>
    </row>
    <row r="237" spans="1:10" ht="15.75" thickTop="1">
      <c r="A237" s="296" t="s">
        <v>287</v>
      </c>
      <c r="B237" s="296"/>
      <c r="C237" s="136"/>
      <c r="D237" s="16"/>
      <c r="E237" s="199"/>
      <c r="F237" s="199"/>
      <c r="G237" s="199"/>
      <c r="H237" s="199"/>
      <c r="I237" s="199"/>
      <c r="J237" s="199"/>
    </row>
    <row r="238" spans="1:10" ht="15">
      <c r="A238" s="64"/>
      <c r="B238" s="24" t="s">
        <v>638</v>
      </c>
      <c r="D238" s="13"/>
      <c r="E238" s="200"/>
      <c r="F238" s="200"/>
      <c r="G238" s="200"/>
      <c r="H238" s="200"/>
      <c r="I238" s="200"/>
      <c r="J238" s="200"/>
    </row>
    <row r="239" spans="2:16" ht="15">
      <c r="B239" s="24" t="s">
        <v>637</v>
      </c>
      <c r="D239" s="19"/>
      <c r="E239" s="13"/>
      <c r="F239" s="13"/>
      <c r="G239" s="13"/>
      <c r="H239" s="322"/>
      <c r="I239" s="322"/>
      <c r="J239" s="322"/>
      <c r="K239" s="322"/>
      <c r="L239" s="322"/>
      <c r="M239" s="200"/>
      <c r="N239" s="200"/>
      <c r="O239" s="200"/>
      <c r="P239" s="200"/>
    </row>
    <row r="240" spans="2:16" ht="15">
      <c r="B240" s="24" t="s">
        <v>639</v>
      </c>
      <c r="D240" s="19"/>
      <c r="E240" s="19"/>
      <c r="F240" s="19"/>
      <c r="G240" s="19"/>
      <c r="H240" s="321"/>
      <c r="I240" s="321"/>
      <c r="J240" s="321"/>
      <c r="K240" s="321"/>
      <c r="L240" s="321"/>
      <c r="M240" s="321"/>
      <c r="N240" s="321"/>
      <c r="O240" s="321"/>
      <c r="P240" s="321"/>
    </row>
    <row r="241" spans="4:16" ht="15.75" thickBot="1">
      <c r="D241" s="19"/>
      <c r="E241" s="19"/>
      <c r="F241" s="19"/>
      <c r="G241" s="19"/>
      <c r="H241" s="321"/>
      <c r="I241" s="321"/>
      <c r="J241" s="321"/>
      <c r="K241" s="321"/>
      <c r="L241" s="321"/>
      <c r="M241" s="321"/>
      <c r="N241" s="321"/>
      <c r="O241" s="200"/>
      <c r="P241" s="200"/>
    </row>
    <row r="242" spans="1:8" ht="15.75" thickTop="1">
      <c r="A242" s="63" t="s">
        <v>392</v>
      </c>
      <c r="B242" s="20"/>
      <c r="C242" s="20"/>
      <c r="D242" s="20"/>
      <c r="E242" s="20"/>
      <c r="F242" s="20"/>
      <c r="G242" s="20"/>
      <c r="H242" s="21"/>
    </row>
    <row r="243" spans="1:8" ht="45" customHeight="1">
      <c r="A243" s="301" t="s">
        <v>202</v>
      </c>
      <c r="B243" s="231"/>
      <c r="C243" s="302" t="s">
        <v>497</v>
      </c>
      <c r="D243" s="271" t="s">
        <v>283</v>
      </c>
      <c r="E243" s="232" t="s">
        <v>590</v>
      </c>
      <c r="F243" s="282"/>
      <c r="G243" s="232" t="s">
        <v>591</v>
      </c>
      <c r="H243" s="234"/>
    </row>
    <row r="244" spans="1:8" ht="25.5">
      <c r="A244" s="301"/>
      <c r="B244" s="231"/>
      <c r="C244" s="303"/>
      <c r="D244" s="271"/>
      <c r="E244" s="4" t="s">
        <v>284</v>
      </c>
      <c r="F244" s="26" t="s">
        <v>285</v>
      </c>
      <c r="G244" s="4" t="s">
        <v>284</v>
      </c>
      <c r="H244" s="59" t="s">
        <v>285</v>
      </c>
    </row>
    <row r="245" spans="1:9" ht="15">
      <c r="A245" s="297" t="s">
        <v>393</v>
      </c>
      <c r="B245" s="298"/>
      <c r="C245" s="172">
        <v>26.65</v>
      </c>
      <c r="D245" s="9">
        <f>'Statistiques AFE 2009'!M127</f>
        <v>206</v>
      </c>
      <c r="E245" s="9">
        <v>113</v>
      </c>
      <c r="F245" s="57">
        <f>E245/D245</f>
        <v>0.5485436893203883</v>
      </c>
      <c r="G245" s="10">
        <v>93</v>
      </c>
      <c r="H245" s="60">
        <f>G245/D245</f>
        <v>0.45145631067961167</v>
      </c>
      <c r="I245" s="198"/>
    </row>
    <row r="246" spans="1:9" ht="15">
      <c r="A246" s="7" t="s">
        <v>394</v>
      </c>
      <c r="B246" s="8"/>
      <c r="C246" s="172">
        <v>16.25</v>
      </c>
      <c r="D246" s="9">
        <f>'Statistiques AFE 2009'!M128</f>
        <v>301</v>
      </c>
      <c r="E246" s="9">
        <v>91</v>
      </c>
      <c r="F246" s="57">
        <f>E246/D246</f>
        <v>0.3023255813953488</v>
      </c>
      <c r="G246" s="10">
        <v>210</v>
      </c>
      <c r="H246" s="60">
        <f>G246/D246</f>
        <v>0.6976744186046512</v>
      </c>
      <c r="I246" s="198"/>
    </row>
    <row r="247" spans="1:9" ht="15">
      <c r="A247" s="297" t="s">
        <v>395</v>
      </c>
      <c r="B247" s="298"/>
      <c r="C247" s="172">
        <v>18.12</v>
      </c>
      <c r="D247" s="9">
        <f>'Statistiques AFE 2009'!M129</f>
        <v>244</v>
      </c>
      <c r="E247" s="9">
        <v>119</v>
      </c>
      <c r="F247" s="57">
        <f>E247/D247</f>
        <v>0.48770491803278687</v>
      </c>
      <c r="G247" s="10">
        <v>125</v>
      </c>
      <c r="H247" s="60">
        <f>G247/D247</f>
        <v>0.5122950819672131</v>
      </c>
      <c r="I247" s="198"/>
    </row>
    <row r="248" spans="1:9" ht="15">
      <c r="A248" s="297" t="s">
        <v>396</v>
      </c>
      <c r="B248" s="298"/>
      <c r="C248" s="172">
        <v>11.05</v>
      </c>
      <c r="D248" s="9">
        <f>'Statistiques AFE 2009'!M130</f>
        <v>113</v>
      </c>
      <c r="E248" s="9">
        <v>57</v>
      </c>
      <c r="F248" s="57">
        <f>E248/D248</f>
        <v>0.504424778761062</v>
      </c>
      <c r="G248" s="10">
        <v>56</v>
      </c>
      <c r="H248" s="60">
        <f>G248/D248</f>
        <v>0.49557522123893805</v>
      </c>
      <c r="I248" s="198"/>
    </row>
    <row r="249" spans="1:9" ht="15.75" thickBot="1">
      <c r="A249" s="235" t="s">
        <v>286</v>
      </c>
      <c r="B249" s="236"/>
      <c r="C249" s="171">
        <v>17.4</v>
      </c>
      <c r="D249" s="11">
        <f>SUM(D245:D248)</f>
        <v>864</v>
      </c>
      <c r="E249" s="11">
        <f>SUM(E245:E248)</f>
        <v>380</v>
      </c>
      <c r="F249" s="58">
        <f>E249/D249</f>
        <v>0.4398148148148148</v>
      </c>
      <c r="G249" s="12">
        <f>SUM(G245:G248)</f>
        <v>484</v>
      </c>
      <c r="H249" s="61">
        <f>G249/D249</f>
        <v>0.5601851851851852</v>
      </c>
      <c r="I249" s="198"/>
    </row>
    <row r="250" spans="1:8" ht="15.75" thickTop="1">
      <c r="A250" s="296" t="s">
        <v>287</v>
      </c>
      <c r="B250" s="296"/>
      <c r="C250" s="136"/>
      <c r="D250" s="16"/>
      <c r="E250" s="199"/>
      <c r="F250" s="199"/>
      <c r="G250" s="199"/>
      <c r="H250" s="199"/>
    </row>
    <row r="251" spans="1:7" ht="15" customHeight="1">
      <c r="A251" s="64"/>
      <c r="B251" s="304" t="s">
        <v>640</v>
      </c>
      <c r="C251" s="304"/>
      <c r="D251" s="304"/>
      <c r="E251" s="304"/>
      <c r="F251" s="304"/>
      <c r="G251" s="193"/>
    </row>
    <row r="252" spans="1:7" ht="15">
      <c r="A252" s="64"/>
      <c r="B252" s="339" t="s">
        <v>669</v>
      </c>
      <c r="C252" s="339"/>
      <c r="D252" s="339"/>
      <c r="E252" s="339"/>
      <c r="F252" s="193"/>
      <c r="G252" s="193"/>
    </row>
    <row r="253" spans="1:7" ht="15">
      <c r="A253" s="64"/>
      <c r="B253" s="304" t="s">
        <v>641</v>
      </c>
      <c r="C253" s="304"/>
      <c r="D253" s="304"/>
      <c r="E253" s="304"/>
      <c r="F253" s="193"/>
      <c r="G253" s="186"/>
    </row>
    <row r="254" spans="4:16" ht="15">
      <c r="D254" s="19"/>
      <c r="E254" s="13"/>
      <c r="F254" s="13"/>
      <c r="G254" s="13"/>
      <c r="H254" s="322"/>
      <c r="I254" s="322"/>
      <c r="J254" s="322"/>
      <c r="K254" s="322"/>
      <c r="L254" s="322"/>
      <c r="M254" s="200"/>
      <c r="N254" s="200"/>
      <c r="O254" s="200"/>
      <c r="P254" s="200"/>
    </row>
    <row r="255" spans="4:16" s="213" customFormat="1" ht="18.75">
      <c r="D255" s="65"/>
      <c r="E255" s="190" t="s">
        <v>657</v>
      </c>
      <c r="F255" s="65"/>
      <c r="G255" s="65"/>
      <c r="H255" s="307"/>
      <c r="I255" s="307"/>
      <c r="J255" s="307"/>
      <c r="K255" s="307"/>
      <c r="L255" s="307"/>
      <c r="M255" s="307"/>
      <c r="N255" s="307"/>
      <c r="O255" s="307"/>
      <c r="P255" s="307"/>
    </row>
    <row r="258" spans="4:16" ht="15.75" thickBot="1">
      <c r="D258" s="17"/>
      <c r="E258" s="17"/>
      <c r="F258" s="17"/>
      <c r="G258" s="17"/>
      <c r="H258" s="25"/>
      <c r="I258" s="25"/>
      <c r="J258" s="25"/>
      <c r="K258" s="25"/>
      <c r="L258" s="25"/>
      <c r="M258" s="25"/>
      <c r="N258" s="25"/>
      <c r="O258" s="25"/>
      <c r="P258" s="25"/>
    </row>
    <row r="259" spans="1:16" ht="15.75" thickTop="1">
      <c r="A259" s="63" t="s">
        <v>397</v>
      </c>
      <c r="B259" s="66"/>
      <c r="C259" s="66"/>
      <c r="D259" s="20"/>
      <c r="E259" s="20"/>
      <c r="F259" s="20"/>
      <c r="G259" s="20"/>
      <c r="H259" s="20"/>
      <c r="I259" s="20"/>
      <c r="J259" s="20"/>
      <c r="K259" s="20"/>
      <c r="L259" s="20"/>
      <c r="M259" s="20"/>
      <c r="N259" s="20"/>
      <c r="O259" s="20"/>
      <c r="P259" s="21"/>
    </row>
    <row r="260" spans="1:16" ht="18" customHeight="1">
      <c r="A260" s="301" t="s">
        <v>202</v>
      </c>
      <c r="B260" s="231"/>
      <c r="C260" s="302" t="s">
        <v>497</v>
      </c>
      <c r="D260" s="271" t="s">
        <v>283</v>
      </c>
      <c r="E260" s="274" t="s">
        <v>398</v>
      </c>
      <c r="F260" s="274"/>
      <c r="G260" s="274"/>
      <c r="H260" s="274"/>
      <c r="I260" s="274"/>
      <c r="J260" s="274"/>
      <c r="K260" s="274" t="s">
        <v>399</v>
      </c>
      <c r="L260" s="274"/>
      <c r="M260" s="274"/>
      <c r="N260" s="274"/>
      <c r="O260" s="274"/>
      <c r="P260" s="305"/>
    </row>
    <row r="261" spans="1:16" ht="23.25" customHeight="1">
      <c r="A261" s="301"/>
      <c r="B261" s="231"/>
      <c r="C261" s="303"/>
      <c r="D261" s="271"/>
      <c r="E261" s="306" t="s">
        <v>284</v>
      </c>
      <c r="F261" s="306"/>
      <c r="G261" s="306"/>
      <c r="H261" s="219" t="s">
        <v>285</v>
      </c>
      <c r="I261" s="219"/>
      <c r="J261" s="219"/>
      <c r="K261" s="306" t="s">
        <v>284</v>
      </c>
      <c r="L261" s="306"/>
      <c r="M261" s="306"/>
      <c r="N261" s="219" t="s">
        <v>285</v>
      </c>
      <c r="O261" s="219"/>
      <c r="P261" s="220"/>
    </row>
    <row r="262" spans="1:17" ht="15">
      <c r="A262" s="297" t="s">
        <v>404</v>
      </c>
      <c r="B262" s="298"/>
      <c r="C262" s="172">
        <v>16.58</v>
      </c>
      <c r="D262" s="9">
        <f>'Statistiques AFE 2009'!M166</f>
        <v>692</v>
      </c>
      <c r="E262" s="281">
        <v>285</v>
      </c>
      <c r="F262" s="281"/>
      <c r="G262" s="281"/>
      <c r="H262" s="239">
        <f>E262/D262</f>
        <v>0.41184971098265893</v>
      </c>
      <c r="I262" s="239"/>
      <c r="J262" s="239"/>
      <c r="K262" s="281">
        <v>407</v>
      </c>
      <c r="L262" s="281"/>
      <c r="M262" s="281"/>
      <c r="N262" s="239">
        <f>K262/D262</f>
        <v>0.588150289017341</v>
      </c>
      <c r="O262" s="239"/>
      <c r="P262" s="240"/>
      <c r="Q262" s="198"/>
    </row>
    <row r="263" spans="1:17" ht="15.75" thickBot="1">
      <c r="A263" s="235" t="s">
        <v>286</v>
      </c>
      <c r="B263" s="236"/>
      <c r="C263" s="171">
        <v>16.58</v>
      </c>
      <c r="D263" s="11">
        <f>D262</f>
        <v>692</v>
      </c>
      <c r="E263" s="283">
        <f>E262</f>
        <v>285</v>
      </c>
      <c r="F263" s="283"/>
      <c r="G263" s="283"/>
      <c r="H263" s="263">
        <f>H262</f>
        <v>0.41184971098265893</v>
      </c>
      <c r="I263" s="263"/>
      <c r="J263" s="263"/>
      <c r="K263" s="283">
        <f>K262</f>
        <v>407</v>
      </c>
      <c r="L263" s="283"/>
      <c r="M263" s="283"/>
      <c r="N263" s="263">
        <f>N262</f>
        <v>0.588150289017341</v>
      </c>
      <c r="O263" s="263"/>
      <c r="P263" s="264"/>
      <c r="Q263" s="198"/>
    </row>
    <row r="264" spans="1:16" ht="15.75" thickTop="1">
      <c r="A264" s="241" t="s">
        <v>643</v>
      </c>
      <c r="B264" s="241"/>
      <c r="C264" s="18"/>
      <c r="D264" s="23"/>
      <c r="E264" s="23"/>
      <c r="F264" s="23"/>
      <c r="M264" s="25"/>
      <c r="N264" s="25"/>
      <c r="O264" s="25"/>
      <c r="P264" s="25"/>
    </row>
    <row r="265" spans="1:16" ht="15.75" customHeight="1">
      <c r="A265" s="18"/>
      <c r="B265" s="19" t="s">
        <v>656</v>
      </c>
      <c r="D265" s="19"/>
      <c r="E265" s="19"/>
      <c r="F265" s="19"/>
      <c r="M265" s="25"/>
      <c r="N265" s="25"/>
      <c r="O265" s="25"/>
      <c r="P265" s="25"/>
    </row>
    <row r="266" spans="1:16" ht="15.75" customHeight="1">
      <c r="A266" s="18"/>
      <c r="B266" s="18"/>
      <c r="C266" s="18"/>
      <c r="D266" s="19"/>
      <c r="E266" s="19"/>
      <c r="F266" s="19"/>
      <c r="M266" s="25"/>
      <c r="N266" s="25"/>
      <c r="O266" s="25"/>
      <c r="P266" s="25"/>
    </row>
    <row r="267" spans="4:16" ht="15.75" thickBot="1">
      <c r="D267" s="17"/>
      <c r="E267" s="17"/>
      <c r="F267" s="17"/>
      <c r="G267" s="17"/>
      <c r="H267" s="25"/>
      <c r="I267" s="25"/>
      <c r="J267" s="25"/>
      <c r="K267" s="25"/>
      <c r="L267" s="25"/>
      <c r="M267" s="25"/>
      <c r="N267" s="25"/>
      <c r="O267" s="25"/>
      <c r="P267" s="25"/>
    </row>
    <row r="268" spans="1:10" ht="15.75" thickTop="1">
      <c r="A268" s="63" t="s">
        <v>400</v>
      </c>
      <c r="B268" s="66"/>
      <c r="C268" s="66"/>
      <c r="D268" s="20"/>
      <c r="E268" s="20"/>
      <c r="F268" s="20"/>
      <c r="G268" s="20"/>
      <c r="H268" s="20"/>
      <c r="I268" s="20"/>
      <c r="J268" s="21"/>
    </row>
    <row r="269" spans="1:10" ht="12.75" customHeight="1">
      <c r="A269" s="301" t="s">
        <v>202</v>
      </c>
      <c r="B269" s="231"/>
      <c r="C269" s="302" t="s">
        <v>497</v>
      </c>
      <c r="D269" s="271" t="s">
        <v>283</v>
      </c>
      <c r="E269" s="274" t="s">
        <v>401</v>
      </c>
      <c r="F269" s="274"/>
      <c r="G269" s="274"/>
      <c r="H269" s="274"/>
      <c r="I269" s="274"/>
      <c r="J269" s="305"/>
    </row>
    <row r="270" spans="1:10" ht="33" customHeight="1">
      <c r="A270" s="301"/>
      <c r="B270" s="231"/>
      <c r="C270" s="303"/>
      <c r="D270" s="271"/>
      <c r="E270" s="306" t="s">
        <v>284</v>
      </c>
      <c r="F270" s="306"/>
      <c r="G270" s="306"/>
      <c r="H270" s="219" t="s">
        <v>285</v>
      </c>
      <c r="I270" s="219"/>
      <c r="J270" s="220"/>
    </row>
    <row r="271" spans="1:10" ht="15">
      <c r="A271" s="297" t="s">
        <v>402</v>
      </c>
      <c r="B271" s="298"/>
      <c r="C271" s="172">
        <v>10.27</v>
      </c>
      <c r="D271" s="9">
        <f>'Statistiques AFE 2009'!M169</f>
        <v>490</v>
      </c>
      <c r="E271" s="281">
        <v>490</v>
      </c>
      <c r="F271" s="281"/>
      <c r="G271" s="281"/>
      <c r="H271" s="239">
        <f>E271/D271</f>
        <v>1</v>
      </c>
      <c r="I271" s="239"/>
      <c r="J271" s="240"/>
    </row>
    <row r="272" spans="1:10" ht="15">
      <c r="A272" s="67" t="s">
        <v>403</v>
      </c>
      <c r="B272" s="68"/>
      <c r="C272" s="175">
        <v>17.7</v>
      </c>
      <c r="D272" s="9">
        <f>'Statistiques AFE 2009'!M170</f>
        <v>89</v>
      </c>
      <c r="E272" s="308">
        <v>89</v>
      </c>
      <c r="F272" s="309"/>
      <c r="G272" s="310"/>
      <c r="H272" s="239">
        <f>E272/D272</f>
        <v>1</v>
      </c>
      <c r="I272" s="239"/>
      <c r="J272" s="240"/>
    </row>
    <row r="273" spans="1:10" ht="15.75" thickBot="1">
      <c r="A273" s="235" t="s">
        <v>286</v>
      </c>
      <c r="B273" s="236"/>
      <c r="C273" s="171">
        <v>10.97</v>
      </c>
      <c r="D273" s="11">
        <f>SUM(D271:D272)</f>
        <v>579</v>
      </c>
      <c r="E273" s="283">
        <f>SUM(E271:G272)</f>
        <v>579</v>
      </c>
      <c r="F273" s="283"/>
      <c r="G273" s="283"/>
      <c r="H273" s="263">
        <f>E273/D273</f>
        <v>1</v>
      </c>
      <c r="I273" s="263"/>
      <c r="J273" s="264"/>
    </row>
    <row r="274" spans="1:6" ht="15.75" thickTop="1">
      <c r="A274" s="241" t="s">
        <v>643</v>
      </c>
      <c r="B274" s="241"/>
      <c r="C274" s="18"/>
      <c r="D274" s="23"/>
      <c r="E274" s="23"/>
      <c r="F274" s="23"/>
    </row>
    <row r="275" spans="1:16" ht="15.75" customHeight="1">
      <c r="A275" s="18"/>
      <c r="B275" s="19" t="s">
        <v>642</v>
      </c>
      <c r="D275" s="19"/>
      <c r="E275" s="19"/>
      <c r="F275" s="19"/>
      <c r="M275" s="25"/>
      <c r="N275" s="25"/>
      <c r="O275" s="25"/>
      <c r="P275" s="25"/>
    </row>
    <row r="276" spans="1:16" ht="15.75" customHeight="1">
      <c r="A276" s="18"/>
      <c r="B276" s="18"/>
      <c r="C276" s="18"/>
      <c r="D276" s="19"/>
      <c r="E276" s="19"/>
      <c r="F276" s="19"/>
      <c r="M276" s="25"/>
      <c r="N276" s="25"/>
      <c r="O276" s="25"/>
      <c r="P276" s="25"/>
    </row>
    <row r="277" spans="4:16" ht="15.75" thickBot="1">
      <c r="D277" s="17"/>
      <c r="E277" s="17"/>
      <c r="F277" s="17"/>
      <c r="G277" s="17"/>
      <c r="H277" s="25"/>
      <c r="I277" s="25"/>
      <c r="J277" s="25"/>
      <c r="K277" s="25"/>
      <c r="L277" s="25"/>
      <c r="M277" s="25"/>
      <c r="N277" s="25"/>
      <c r="O277" s="25"/>
      <c r="P277" s="25"/>
    </row>
    <row r="278" spans="1:17" ht="15.75" thickTop="1">
      <c r="A278" s="63" t="s">
        <v>405</v>
      </c>
      <c r="B278" s="66"/>
      <c r="C278" s="66"/>
      <c r="D278" s="20"/>
      <c r="E278" s="20"/>
      <c r="F278" s="20"/>
      <c r="G278" s="20"/>
      <c r="H278" s="20"/>
      <c r="I278" s="20"/>
      <c r="J278" s="20"/>
      <c r="K278" s="20"/>
      <c r="L278" s="20"/>
      <c r="M278" s="20"/>
      <c r="N278" s="20"/>
      <c r="O278" s="20"/>
      <c r="P278" s="21"/>
      <c r="Q278" s="198"/>
    </row>
    <row r="279" spans="1:17" ht="12.75" customHeight="1">
      <c r="A279" s="301" t="s">
        <v>202</v>
      </c>
      <c r="B279" s="231"/>
      <c r="C279" s="302" t="s">
        <v>497</v>
      </c>
      <c r="D279" s="271" t="s">
        <v>283</v>
      </c>
      <c r="E279" s="274" t="s">
        <v>412</v>
      </c>
      <c r="F279" s="274"/>
      <c r="G279" s="274"/>
      <c r="H279" s="274"/>
      <c r="I279" s="274"/>
      <c r="J279" s="274"/>
      <c r="K279" s="274" t="s">
        <v>413</v>
      </c>
      <c r="L279" s="274"/>
      <c r="M279" s="274"/>
      <c r="N279" s="274"/>
      <c r="O279" s="274"/>
      <c r="P279" s="305"/>
      <c r="Q279" s="198"/>
    </row>
    <row r="280" spans="1:17" ht="34.5" customHeight="1">
      <c r="A280" s="301"/>
      <c r="B280" s="231"/>
      <c r="C280" s="303"/>
      <c r="D280" s="271"/>
      <c r="E280" s="306" t="s">
        <v>284</v>
      </c>
      <c r="F280" s="306"/>
      <c r="G280" s="306"/>
      <c r="H280" s="219" t="s">
        <v>285</v>
      </c>
      <c r="I280" s="219"/>
      <c r="J280" s="219"/>
      <c r="K280" s="306" t="s">
        <v>284</v>
      </c>
      <c r="L280" s="306"/>
      <c r="M280" s="306"/>
      <c r="N280" s="219" t="s">
        <v>285</v>
      </c>
      <c r="O280" s="219"/>
      <c r="P280" s="220"/>
      <c r="Q280" s="198"/>
    </row>
    <row r="281" spans="1:17" s="214" customFormat="1" ht="15">
      <c r="A281" s="314" t="s">
        <v>406</v>
      </c>
      <c r="B281" s="315"/>
      <c r="C281" s="174">
        <v>28.71</v>
      </c>
      <c r="D281" s="89">
        <f>'Statistiques AFE 2009'!M217</f>
        <v>259</v>
      </c>
      <c r="E281" s="311">
        <v>137</v>
      </c>
      <c r="F281" s="312"/>
      <c r="G281" s="313"/>
      <c r="H281" s="239">
        <f aca="true" t="shared" si="28" ref="H281:H286">E281/D281</f>
        <v>0.528957528957529</v>
      </c>
      <c r="I281" s="239"/>
      <c r="J281" s="239"/>
      <c r="K281" s="316">
        <v>122</v>
      </c>
      <c r="L281" s="317"/>
      <c r="M281" s="318"/>
      <c r="N281" s="239">
        <f aca="true" t="shared" si="29" ref="N281:N286">K281/D281</f>
        <v>0.47104247104247104</v>
      </c>
      <c r="O281" s="239"/>
      <c r="P281" s="240"/>
      <c r="Q281" s="198"/>
    </row>
    <row r="282" spans="1:17" s="214" customFormat="1" ht="15">
      <c r="A282" s="314" t="s">
        <v>294</v>
      </c>
      <c r="B282" s="315"/>
      <c r="C282" s="174">
        <v>5.98</v>
      </c>
      <c r="D282" s="89">
        <f>'Statistiques AFE 2009'!M218</f>
        <v>5</v>
      </c>
      <c r="E282" s="311">
        <v>4</v>
      </c>
      <c r="F282" s="312"/>
      <c r="G282" s="313"/>
      <c r="H282" s="239">
        <f t="shared" si="28"/>
        <v>0.8</v>
      </c>
      <c r="I282" s="239"/>
      <c r="J282" s="239"/>
      <c r="K282" s="316">
        <v>1</v>
      </c>
      <c r="L282" s="317"/>
      <c r="M282" s="318"/>
      <c r="N282" s="239">
        <f t="shared" si="29"/>
        <v>0.2</v>
      </c>
      <c r="O282" s="239"/>
      <c r="P282" s="240"/>
      <c r="Q282" s="198"/>
    </row>
    <row r="283" spans="1:17" s="214" customFormat="1" ht="15">
      <c r="A283" s="314" t="s">
        <v>407</v>
      </c>
      <c r="B283" s="315"/>
      <c r="C283" s="174">
        <v>5.97</v>
      </c>
      <c r="D283" s="89">
        <f>'Statistiques AFE 2009'!M219</f>
        <v>23</v>
      </c>
      <c r="E283" s="311">
        <v>8</v>
      </c>
      <c r="F283" s="312"/>
      <c r="G283" s="313"/>
      <c r="H283" s="239">
        <f t="shared" si="28"/>
        <v>0.34782608695652173</v>
      </c>
      <c r="I283" s="239"/>
      <c r="J283" s="239"/>
      <c r="K283" s="316">
        <v>15</v>
      </c>
      <c r="L283" s="317"/>
      <c r="M283" s="318"/>
      <c r="N283" s="239">
        <f t="shared" si="29"/>
        <v>0.6521739130434783</v>
      </c>
      <c r="O283" s="239"/>
      <c r="P283" s="240"/>
      <c r="Q283" s="198"/>
    </row>
    <row r="284" spans="1:17" s="214" customFormat="1" ht="15">
      <c r="A284" s="314" t="s">
        <v>408</v>
      </c>
      <c r="B284" s="315"/>
      <c r="C284" s="174">
        <v>22.52</v>
      </c>
      <c r="D284" s="89">
        <f>'Statistiques AFE 2009'!M220</f>
        <v>24</v>
      </c>
      <c r="E284" s="311">
        <v>10</v>
      </c>
      <c r="F284" s="312"/>
      <c r="G284" s="313"/>
      <c r="H284" s="239">
        <f t="shared" si="28"/>
        <v>0.4166666666666667</v>
      </c>
      <c r="I284" s="239"/>
      <c r="J284" s="239"/>
      <c r="K284" s="316">
        <v>14</v>
      </c>
      <c r="L284" s="317"/>
      <c r="M284" s="318"/>
      <c r="N284" s="239">
        <f t="shared" si="29"/>
        <v>0.5833333333333334</v>
      </c>
      <c r="O284" s="239"/>
      <c r="P284" s="240"/>
      <c r="Q284" s="198"/>
    </row>
    <row r="285" spans="1:17" s="214" customFormat="1" ht="15">
      <c r="A285" s="314" t="s">
        <v>409</v>
      </c>
      <c r="B285" s="315"/>
      <c r="C285" s="174">
        <v>37.02</v>
      </c>
      <c r="D285" s="89">
        <f>'Statistiques AFE 2009'!M221</f>
        <v>105</v>
      </c>
      <c r="E285" s="311">
        <v>37</v>
      </c>
      <c r="F285" s="312"/>
      <c r="G285" s="313"/>
      <c r="H285" s="239">
        <f t="shared" si="28"/>
        <v>0.3523809523809524</v>
      </c>
      <c r="I285" s="239"/>
      <c r="J285" s="239"/>
      <c r="K285" s="316">
        <v>68</v>
      </c>
      <c r="L285" s="317"/>
      <c r="M285" s="318"/>
      <c r="N285" s="239">
        <f t="shared" si="29"/>
        <v>0.6476190476190476</v>
      </c>
      <c r="O285" s="239"/>
      <c r="P285" s="240"/>
      <c r="Q285" s="198"/>
    </row>
    <row r="286" spans="1:17" s="214" customFormat="1" ht="15">
      <c r="A286" s="314" t="s">
        <v>411</v>
      </c>
      <c r="B286" s="315"/>
      <c r="C286" s="174">
        <v>12.98</v>
      </c>
      <c r="D286" s="89">
        <f>'Statistiques AFE 2009'!M222</f>
        <v>51</v>
      </c>
      <c r="E286" s="311">
        <v>30</v>
      </c>
      <c r="F286" s="312"/>
      <c r="G286" s="313"/>
      <c r="H286" s="239">
        <f t="shared" si="28"/>
        <v>0.5882352941176471</v>
      </c>
      <c r="I286" s="239"/>
      <c r="J286" s="239"/>
      <c r="K286" s="316">
        <v>21</v>
      </c>
      <c r="L286" s="317"/>
      <c r="M286" s="318"/>
      <c r="N286" s="239">
        <f t="shared" si="29"/>
        <v>0.4117647058823529</v>
      </c>
      <c r="O286" s="239"/>
      <c r="P286" s="240"/>
      <c r="Q286" s="198"/>
    </row>
    <row r="287" spans="1:17" ht="15">
      <c r="A287" s="297" t="s">
        <v>410</v>
      </c>
      <c r="B287" s="298"/>
      <c r="C287" s="172">
        <v>16.46</v>
      </c>
      <c r="D287" s="89">
        <f>'Statistiques AFE 2009'!M223</f>
        <v>271</v>
      </c>
      <c r="E287" s="311">
        <v>191</v>
      </c>
      <c r="F287" s="312"/>
      <c r="G287" s="313"/>
      <c r="H287" s="239">
        <f>E287/D287</f>
        <v>0.7047970479704797</v>
      </c>
      <c r="I287" s="239"/>
      <c r="J287" s="239"/>
      <c r="K287" s="281">
        <v>80</v>
      </c>
      <c r="L287" s="281"/>
      <c r="M287" s="281"/>
      <c r="N287" s="239">
        <f>K287/D287</f>
        <v>0.2952029520295203</v>
      </c>
      <c r="O287" s="239"/>
      <c r="P287" s="240"/>
      <c r="Q287" s="198"/>
    </row>
    <row r="288" spans="1:17" ht="15.75" thickBot="1">
      <c r="A288" s="235" t="s">
        <v>286</v>
      </c>
      <c r="B288" s="236"/>
      <c r="C288" s="171">
        <v>19.06</v>
      </c>
      <c r="D288" s="11">
        <f>SUM(D281:D287)</f>
        <v>738</v>
      </c>
      <c r="E288" s="283">
        <f>SUM(E281:E287)</f>
        <v>417</v>
      </c>
      <c r="F288" s="283"/>
      <c r="G288" s="283"/>
      <c r="H288" s="263">
        <f>E288/D288</f>
        <v>0.5650406504065041</v>
      </c>
      <c r="I288" s="263"/>
      <c r="J288" s="263"/>
      <c r="K288" s="283">
        <f>SUM(K281:K287)</f>
        <v>321</v>
      </c>
      <c r="L288" s="283"/>
      <c r="M288" s="283"/>
      <c r="N288" s="263">
        <f>K288/D288</f>
        <v>0.4349593495934959</v>
      </c>
      <c r="O288" s="263"/>
      <c r="P288" s="264"/>
      <c r="Q288" s="198"/>
    </row>
    <row r="289" spans="1:17" ht="15.75" thickTop="1">
      <c r="A289" s="241" t="s">
        <v>643</v>
      </c>
      <c r="B289" s="241"/>
      <c r="C289" s="18"/>
      <c r="D289" s="23"/>
      <c r="E289" s="23"/>
      <c r="F289" s="23"/>
      <c r="M289" s="25"/>
      <c r="N289" s="25"/>
      <c r="O289" s="25"/>
      <c r="P289" s="25"/>
      <c r="Q289" s="198"/>
    </row>
    <row r="290" spans="1:17" ht="15.75" customHeight="1">
      <c r="A290" s="18"/>
      <c r="B290" s="19" t="s">
        <v>655</v>
      </c>
      <c r="D290" s="19"/>
      <c r="E290" s="19"/>
      <c r="F290" s="19"/>
      <c r="M290" s="25"/>
      <c r="N290" s="25"/>
      <c r="O290" s="25"/>
      <c r="P290" s="25"/>
      <c r="Q290" s="198"/>
    </row>
    <row r="291" spans="1:17" ht="15.75" customHeight="1" thickBot="1">
      <c r="A291" s="18"/>
      <c r="B291" s="18"/>
      <c r="C291" s="18"/>
      <c r="D291" s="19"/>
      <c r="E291" s="19"/>
      <c r="F291" s="19"/>
      <c r="M291" s="25"/>
      <c r="N291" s="25"/>
      <c r="O291" s="25"/>
      <c r="P291" s="25"/>
      <c r="Q291" s="198"/>
    </row>
    <row r="292" spans="1:17" ht="15.75" thickTop="1">
      <c r="A292" s="63" t="s">
        <v>414</v>
      </c>
      <c r="B292" s="20"/>
      <c r="C292" s="20"/>
      <c r="D292" s="20"/>
      <c r="E292" s="20"/>
      <c r="F292" s="20"/>
      <c r="G292" s="20"/>
      <c r="H292" s="20"/>
      <c r="I292" s="20"/>
      <c r="J292" s="20"/>
      <c r="K292" s="20"/>
      <c r="L292" s="20"/>
      <c r="M292" s="20"/>
      <c r="N292" s="20"/>
      <c r="O292" s="20"/>
      <c r="P292" s="21"/>
      <c r="Q292" s="198"/>
    </row>
    <row r="293" spans="1:17" ht="12.75" customHeight="1">
      <c r="A293" s="301" t="s">
        <v>202</v>
      </c>
      <c r="B293" s="231"/>
      <c r="C293" s="302" t="s">
        <v>497</v>
      </c>
      <c r="D293" s="271" t="s">
        <v>283</v>
      </c>
      <c r="E293" s="274" t="s">
        <v>422</v>
      </c>
      <c r="F293" s="274"/>
      <c r="G293" s="274"/>
      <c r="H293" s="274"/>
      <c r="I293" s="274" t="s">
        <v>423</v>
      </c>
      <c r="J293" s="274"/>
      <c r="K293" s="274"/>
      <c r="L293" s="274"/>
      <c r="M293" s="274" t="s">
        <v>424</v>
      </c>
      <c r="N293" s="274"/>
      <c r="O293" s="274"/>
      <c r="P293" s="305"/>
      <c r="Q293" s="198"/>
    </row>
    <row r="294" spans="1:17" ht="32.25" customHeight="1">
      <c r="A294" s="301"/>
      <c r="B294" s="231"/>
      <c r="C294" s="303"/>
      <c r="D294" s="271"/>
      <c r="E294" s="306" t="s">
        <v>284</v>
      </c>
      <c r="F294" s="306"/>
      <c r="G294" s="219" t="s">
        <v>285</v>
      </c>
      <c r="H294" s="219"/>
      <c r="I294" s="306" t="s">
        <v>284</v>
      </c>
      <c r="J294" s="306"/>
      <c r="K294" s="219" t="s">
        <v>285</v>
      </c>
      <c r="L294" s="219"/>
      <c r="M294" s="306" t="s">
        <v>284</v>
      </c>
      <c r="N294" s="306"/>
      <c r="O294" s="219" t="s">
        <v>285</v>
      </c>
      <c r="P294" s="220"/>
      <c r="Q294" s="198"/>
    </row>
    <row r="295" spans="1:17" ht="15">
      <c r="A295" s="277" t="s">
        <v>415</v>
      </c>
      <c r="B295" s="278"/>
      <c r="C295" s="172">
        <v>22.34</v>
      </c>
      <c r="D295" s="9">
        <f>'Statistiques AFE 2009'!M39</f>
        <v>636</v>
      </c>
      <c r="E295" s="319">
        <v>311</v>
      </c>
      <c r="F295" s="319"/>
      <c r="G295" s="239">
        <f aca="true" t="shared" si="30" ref="G295:G302">E295/D295</f>
        <v>0.4889937106918239</v>
      </c>
      <c r="H295" s="239"/>
      <c r="I295" s="319">
        <v>262</v>
      </c>
      <c r="J295" s="319"/>
      <c r="K295" s="239">
        <f aca="true" t="shared" si="31" ref="K295:K302">I295/D295</f>
        <v>0.4119496855345912</v>
      </c>
      <c r="L295" s="239"/>
      <c r="M295" s="320">
        <v>63</v>
      </c>
      <c r="N295" s="320"/>
      <c r="O295" s="239">
        <f aca="true" t="shared" si="32" ref="O295:O302">M295/D295</f>
        <v>0.09905660377358491</v>
      </c>
      <c r="P295" s="240"/>
      <c r="Q295" s="198"/>
    </row>
    <row r="296" spans="1:17" ht="15">
      <c r="A296" s="279" t="s">
        <v>416</v>
      </c>
      <c r="B296" s="280"/>
      <c r="C296" s="173">
        <v>23.05</v>
      </c>
      <c r="D296" s="9">
        <f>'Statistiques AFE 2009'!M40</f>
        <v>340</v>
      </c>
      <c r="E296" s="308">
        <v>113</v>
      </c>
      <c r="F296" s="310"/>
      <c r="G296" s="239">
        <f t="shared" si="30"/>
        <v>0.3323529411764706</v>
      </c>
      <c r="H296" s="239"/>
      <c r="I296" s="319">
        <v>182</v>
      </c>
      <c r="J296" s="319"/>
      <c r="K296" s="239">
        <f t="shared" si="31"/>
        <v>0.5352941176470588</v>
      </c>
      <c r="L296" s="239"/>
      <c r="M296" s="320">
        <v>45</v>
      </c>
      <c r="N296" s="320"/>
      <c r="O296" s="239">
        <f t="shared" si="32"/>
        <v>0.1323529411764706</v>
      </c>
      <c r="P296" s="240"/>
      <c r="Q296" s="198"/>
    </row>
    <row r="297" spans="1:17" ht="15">
      <c r="A297" s="279" t="s">
        <v>417</v>
      </c>
      <c r="B297" s="280"/>
      <c r="C297" s="173">
        <v>30.47</v>
      </c>
      <c r="D297" s="9">
        <f>'Statistiques AFE 2009'!M41</f>
        <v>39</v>
      </c>
      <c r="E297" s="308">
        <v>13</v>
      </c>
      <c r="F297" s="310"/>
      <c r="G297" s="239">
        <f t="shared" si="30"/>
        <v>0.3333333333333333</v>
      </c>
      <c r="H297" s="239"/>
      <c r="I297" s="319">
        <v>12</v>
      </c>
      <c r="J297" s="319"/>
      <c r="K297" s="239">
        <f t="shared" si="31"/>
        <v>0.3076923076923077</v>
      </c>
      <c r="L297" s="239"/>
      <c r="M297" s="320">
        <v>14</v>
      </c>
      <c r="N297" s="320"/>
      <c r="O297" s="239">
        <f t="shared" si="32"/>
        <v>0.358974358974359</v>
      </c>
      <c r="P297" s="240"/>
      <c r="Q297" s="198"/>
    </row>
    <row r="298" spans="1:17" ht="15">
      <c r="A298" s="279" t="s">
        <v>418</v>
      </c>
      <c r="B298" s="280"/>
      <c r="C298" s="173">
        <v>35.29</v>
      </c>
      <c r="D298" s="9">
        <f>'Statistiques AFE 2009'!M42</f>
        <v>23</v>
      </c>
      <c r="E298" s="308">
        <v>4</v>
      </c>
      <c r="F298" s="310"/>
      <c r="G298" s="239">
        <f t="shared" si="30"/>
        <v>0.17391304347826086</v>
      </c>
      <c r="H298" s="239"/>
      <c r="I298" s="319">
        <v>6</v>
      </c>
      <c r="J298" s="319"/>
      <c r="K298" s="239">
        <f t="shared" si="31"/>
        <v>0.2608695652173913</v>
      </c>
      <c r="L298" s="239"/>
      <c r="M298" s="320">
        <v>13</v>
      </c>
      <c r="N298" s="320"/>
      <c r="O298" s="239">
        <f t="shared" si="32"/>
        <v>0.5652173913043478</v>
      </c>
      <c r="P298" s="240"/>
      <c r="Q298" s="198"/>
    </row>
    <row r="299" spans="1:17" ht="15">
      <c r="A299" s="277" t="s">
        <v>419</v>
      </c>
      <c r="B299" s="278"/>
      <c r="C299" s="172">
        <v>24.44</v>
      </c>
      <c r="D299" s="9">
        <f>'Statistiques AFE 2009'!M43</f>
        <v>33</v>
      </c>
      <c r="E299" s="319">
        <v>8</v>
      </c>
      <c r="F299" s="319"/>
      <c r="G299" s="239">
        <f t="shared" si="30"/>
        <v>0.24242424242424243</v>
      </c>
      <c r="H299" s="239"/>
      <c r="I299" s="319">
        <v>14</v>
      </c>
      <c r="J299" s="319"/>
      <c r="K299" s="239">
        <f t="shared" si="31"/>
        <v>0.42424242424242425</v>
      </c>
      <c r="L299" s="239"/>
      <c r="M299" s="319">
        <v>11</v>
      </c>
      <c r="N299" s="319"/>
      <c r="O299" s="239">
        <f t="shared" si="32"/>
        <v>0.3333333333333333</v>
      </c>
      <c r="P299" s="240"/>
      <c r="Q299" s="198"/>
    </row>
    <row r="300" spans="1:17" ht="15">
      <c r="A300" s="277" t="s">
        <v>420</v>
      </c>
      <c r="B300" s="278"/>
      <c r="C300" s="172">
        <v>23.67</v>
      </c>
      <c r="D300" s="9">
        <f>'Statistiques AFE 2009'!M44</f>
        <v>40</v>
      </c>
      <c r="E300" s="319">
        <v>7</v>
      </c>
      <c r="F300" s="319"/>
      <c r="G300" s="239">
        <f t="shared" si="30"/>
        <v>0.175</v>
      </c>
      <c r="H300" s="239"/>
      <c r="I300" s="319">
        <v>14</v>
      </c>
      <c r="J300" s="319"/>
      <c r="K300" s="239">
        <f t="shared" si="31"/>
        <v>0.35</v>
      </c>
      <c r="L300" s="239"/>
      <c r="M300" s="319">
        <v>19</v>
      </c>
      <c r="N300" s="319"/>
      <c r="O300" s="239">
        <f t="shared" si="32"/>
        <v>0.475</v>
      </c>
      <c r="P300" s="240"/>
      <c r="Q300" s="198"/>
    </row>
    <row r="301" spans="1:17" ht="15">
      <c r="A301" s="277" t="s">
        <v>421</v>
      </c>
      <c r="B301" s="278"/>
      <c r="C301" s="172">
        <v>31.67</v>
      </c>
      <c r="D301" s="9">
        <f>'Statistiques AFE 2009'!M45</f>
        <v>76</v>
      </c>
      <c r="E301" s="319">
        <v>3</v>
      </c>
      <c r="F301" s="319"/>
      <c r="G301" s="239">
        <f t="shared" si="30"/>
        <v>0.039473684210526314</v>
      </c>
      <c r="H301" s="239"/>
      <c r="I301" s="319">
        <v>6</v>
      </c>
      <c r="J301" s="319"/>
      <c r="K301" s="239">
        <f t="shared" si="31"/>
        <v>0.07894736842105263</v>
      </c>
      <c r="L301" s="239"/>
      <c r="M301" s="319">
        <v>67</v>
      </c>
      <c r="N301" s="319"/>
      <c r="O301" s="239">
        <f t="shared" si="32"/>
        <v>0.881578947368421</v>
      </c>
      <c r="P301" s="240"/>
      <c r="Q301" s="198"/>
    </row>
    <row r="302" spans="1:17" ht="15.75" thickBot="1">
      <c r="A302" s="235" t="s">
        <v>286</v>
      </c>
      <c r="B302" s="236"/>
      <c r="C302" s="171">
        <v>23.43</v>
      </c>
      <c r="D302" s="11">
        <f>SUM(D295:D301)</f>
        <v>1187</v>
      </c>
      <c r="E302" s="324">
        <f>SUM(E295:E301)</f>
        <v>459</v>
      </c>
      <c r="F302" s="325"/>
      <c r="G302" s="263">
        <f t="shared" si="30"/>
        <v>0.3866891322662174</v>
      </c>
      <c r="H302" s="263"/>
      <c r="I302" s="323">
        <f>SUM(I295:I301)</f>
        <v>496</v>
      </c>
      <c r="J302" s="323"/>
      <c r="K302" s="263">
        <f t="shared" si="31"/>
        <v>0.41786015164279694</v>
      </c>
      <c r="L302" s="263"/>
      <c r="M302" s="323">
        <f>SUM(M295:M301)</f>
        <v>232</v>
      </c>
      <c r="N302" s="323"/>
      <c r="O302" s="263">
        <f t="shared" si="32"/>
        <v>0.1954507160909857</v>
      </c>
      <c r="P302" s="264"/>
      <c r="Q302" s="198"/>
    </row>
    <row r="303" spans="1:17" ht="15.75" thickTop="1">
      <c r="A303" s="291" t="s">
        <v>288</v>
      </c>
      <c r="B303" s="291"/>
      <c r="C303" s="100"/>
      <c r="D303" s="22"/>
      <c r="E303" s="22"/>
      <c r="F303" s="22"/>
      <c r="G303" s="22"/>
      <c r="H303" s="292"/>
      <c r="I303" s="292"/>
      <c r="J303" s="292"/>
      <c r="K303" s="292"/>
      <c r="L303" s="292"/>
      <c r="Q303" s="198"/>
    </row>
    <row r="304" spans="2:17" ht="15">
      <c r="B304" s="24" t="s">
        <v>668</v>
      </c>
      <c r="D304" s="17"/>
      <c r="E304" s="17"/>
      <c r="F304" s="17"/>
      <c r="G304" s="17"/>
      <c r="H304" s="290"/>
      <c r="I304" s="290"/>
      <c r="J304" s="290"/>
      <c r="K304" s="290"/>
      <c r="L304" s="290"/>
      <c r="Q304" s="198"/>
    </row>
    <row r="305" spans="4:17" ht="15">
      <c r="D305" s="17"/>
      <c r="E305" s="17"/>
      <c r="F305" s="17"/>
      <c r="G305" s="17"/>
      <c r="H305" s="336"/>
      <c r="I305" s="336"/>
      <c r="J305" s="336"/>
      <c r="K305" s="336"/>
      <c r="L305" s="336"/>
      <c r="M305" s="336"/>
      <c r="N305" s="336"/>
      <c r="O305" s="336"/>
      <c r="P305" s="336"/>
      <c r="Q305" s="198"/>
    </row>
    <row r="306" spans="1:17" ht="15.75" customHeight="1" thickBot="1">
      <c r="A306" s="18"/>
      <c r="B306" s="18"/>
      <c r="C306" s="18"/>
      <c r="D306" s="19"/>
      <c r="E306" s="19"/>
      <c r="F306" s="19"/>
      <c r="M306" s="25"/>
      <c r="N306" s="25"/>
      <c r="O306" s="25"/>
      <c r="P306" s="25"/>
      <c r="Q306" s="198"/>
    </row>
    <row r="307" spans="1:15" ht="15.75" thickTop="1">
      <c r="A307" s="63" t="s">
        <v>665</v>
      </c>
      <c r="B307" s="20"/>
      <c r="C307" s="20"/>
      <c r="D307" s="20"/>
      <c r="E307" s="20"/>
      <c r="F307" s="20"/>
      <c r="G307" s="20"/>
      <c r="H307" s="20"/>
      <c r="I307" s="20"/>
      <c r="J307" s="20"/>
      <c r="K307" s="20"/>
      <c r="L307" s="20"/>
      <c r="M307" s="20"/>
      <c r="N307" s="21"/>
      <c r="O307" s="198"/>
    </row>
    <row r="308" spans="1:15" ht="21" customHeight="1">
      <c r="A308" s="265" t="s">
        <v>202</v>
      </c>
      <c r="B308" s="266"/>
      <c r="C308" s="231" t="s">
        <v>497</v>
      </c>
      <c r="D308" s="271" t="s">
        <v>283</v>
      </c>
      <c r="E308" s="273" t="s">
        <v>480</v>
      </c>
      <c r="F308" s="273"/>
      <c r="G308" s="273"/>
      <c r="H308" s="273"/>
      <c r="I308" s="273" t="s">
        <v>481</v>
      </c>
      <c r="J308" s="273"/>
      <c r="K308" s="273"/>
      <c r="L308" s="273"/>
      <c r="M308" s="273" t="s">
        <v>482</v>
      </c>
      <c r="N308" s="284"/>
      <c r="O308" s="198"/>
    </row>
    <row r="309" spans="1:15" ht="30.75" customHeight="1">
      <c r="A309" s="267"/>
      <c r="B309" s="268"/>
      <c r="C309" s="231"/>
      <c r="D309" s="271"/>
      <c r="E309" s="274" t="s">
        <v>428</v>
      </c>
      <c r="F309" s="274"/>
      <c r="G309" s="274" t="s">
        <v>660</v>
      </c>
      <c r="H309" s="274"/>
      <c r="I309" s="274" t="s">
        <v>429</v>
      </c>
      <c r="J309" s="274"/>
      <c r="K309" s="274" t="s">
        <v>661</v>
      </c>
      <c r="L309" s="274"/>
      <c r="M309" s="232" t="s">
        <v>430</v>
      </c>
      <c r="N309" s="234"/>
      <c r="O309" s="198"/>
    </row>
    <row r="310" spans="1:15" ht="25.5">
      <c r="A310" s="269"/>
      <c r="B310" s="270"/>
      <c r="C310" s="231"/>
      <c r="D310" s="271"/>
      <c r="E310" s="4" t="s">
        <v>284</v>
      </c>
      <c r="F310" s="5" t="s">
        <v>285</v>
      </c>
      <c r="G310" s="4" t="s">
        <v>284</v>
      </c>
      <c r="H310" s="5" t="s">
        <v>285</v>
      </c>
      <c r="I310" s="4" t="s">
        <v>284</v>
      </c>
      <c r="J310" s="5" t="s">
        <v>285</v>
      </c>
      <c r="K310" s="4" t="s">
        <v>284</v>
      </c>
      <c r="L310" s="5" t="s">
        <v>285</v>
      </c>
      <c r="M310" s="4" t="s">
        <v>284</v>
      </c>
      <c r="N310" s="6" t="s">
        <v>285</v>
      </c>
      <c r="O310" s="198"/>
    </row>
    <row r="311" spans="1:15" ht="15">
      <c r="A311" s="277" t="s">
        <v>425</v>
      </c>
      <c r="B311" s="278"/>
      <c r="C311" s="172">
        <v>18.3</v>
      </c>
      <c r="D311" s="9">
        <f>+'Statistiques AFE 2009'!M62</f>
        <v>1081</v>
      </c>
      <c r="E311" s="27">
        <v>305</v>
      </c>
      <c r="F311" s="69">
        <f>E311/D311</f>
        <v>0.2821461609620722</v>
      </c>
      <c r="G311" s="27">
        <v>302</v>
      </c>
      <c r="H311" s="69">
        <f>G311/D311</f>
        <v>0.2793709528214616</v>
      </c>
      <c r="I311" s="27">
        <v>222</v>
      </c>
      <c r="J311" s="69">
        <f>I311/D311</f>
        <v>0.2053654024051804</v>
      </c>
      <c r="K311" s="27">
        <v>212</v>
      </c>
      <c r="L311" s="69">
        <f>K311/D311</f>
        <v>0.19611470860314523</v>
      </c>
      <c r="M311" s="70">
        <v>40</v>
      </c>
      <c r="N311" s="71">
        <f>M311/D311</f>
        <v>0.03700277520814061</v>
      </c>
      <c r="O311" s="198"/>
    </row>
    <row r="312" spans="1:15" ht="15">
      <c r="A312" s="279" t="s">
        <v>426</v>
      </c>
      <c r="B312" s="280"/>
      <c r="C312" s="173">
        <v>12.64</v>
      </c>
      <c r="D312" s="9">
        <f>+'Statistiques AFE 2009'!M63</f>
        <v>54</v>
      </c>
      <c r="E312" s="27">
        <v>28</v>
      </c>
      <c r="F312" s="69">
        <f>E312/D312</f>
        <v>0.5185185185185185</v>
      </c>
      <c r="G312" s="27">
        <v>25</v>
      </c>
      <c r="H312" s="69">
        <f>G312/D312</f>
        <v>0.46296296296296297</v>
      </c>
      <c r="I312" s="27">
        <v>22</v>
      </c>
      <c r="J312" s="69">
        <f>I312/D312</f>
        <v>0.4074074074074074</v>
      </c>
      <c r="K312" s="27">
        <v>23</v>
      </c>
      <c r="L312" s="69">
        <f>K312/D312</f>
        <v>0.42592592592592593</v>
      </c>
      <c r="M312" s="70">
        <v>5</v>
      </c>
      <c r="N312" s="71">
        <f>M312/D312</f>
        <v>0.09259259259259259</v>
      </c>
      <c r="O312" s="198"/>
    </row>
    <row r="313" spans="1:15" ht="15">
      <c r="A313" s="279" t="s">
        <v>427</v>
      </c>
      <c r="B313" s="280"/>
      <c r="C313" s="173">
        <v>17.56</v>
      </c>
      <c r="D313" s="9">
        <f>+'Statistiques AFE 2009'!M64</f>
        <v>67</v>
      </c>
      <c r="E313" s="27">
        <v>15</v>
      </c>
      <c r="F313" s="69">
        <f>E313/D313</f>
        <v>0.22388059701492538</v>
      </c>
      <c r="G313" s="27">
        <v>17</v>
      </c>
      <c r="H313" s="69">
        <f>G313/D313</f>
        <v>0.2537313432835821</v>
      </c>
      <c r="I313" s="27">
        <v>17</v>
      </c>
      <c r="J313" s="69">
        <f>I313/D313</f>
        <v>0.2537313432835821</v>
      </c>
      <c r="K313" s="27">
        <v>16</v>
      </c>
      <c r="L313" s="69">
        <f>K313/D313</f>
        <v>0.23880597014925373</v>
      </c>
      <c r="M313" s="70">
        <v>2</v>
      </c>
      <c r="N313" s="71">
        <f>M313/D313</f>
        <v>0.029850746268656716</v>
      </c>
      <c r="O313" s="198"/>
    </row>
    <row r="314" spans="1:15" ht="15.75" thickBot="1">
      <c r="A314" s="235" t="s">
        <v>286</v>
      </c>
      <c r="B314" s="236"/>
      <c r="C314" s="171">
        <v>17.61</v>
      </c>
      <c r="D314" s="11">
        <f>SUM(D311:D313)</f>
        <v>1202</v>
      </c>
      <c r="E314" s="72">
        <f>SUM(E311:E313)</f>
        <v>348</v>
      </c>
      <c r="F314" s="90">
        <f>E314/D314</f>
        <v>0.2895174708818636</v>
      </c>
      <c r="G314" s="72">
        <f>SUM(G311:G313)</f>
        <v>344</v>
      </c>
      <c r="H314" s="90">
        <f>G314/D314</f>
        <v>0.28618968386023297</v>
      </c>
      <c r="I314" s="72">
        <f>SUM(I311:I313)</f>
        <v>261</v>
      </c>
      <c r="J314" s="90">
        <f>I314/D314</f>
        <v>0.21713810316139767</v>
      </c>
      <c r="K314" s="72">
        <f>SUM(K311:K313)</f>
        <v>251</v>
      </c>
      <c r="L314" s="90">
        <f>K314/D314</f>
        <v>0.20881863560732114</v>
      </c>
      <c r="M314" s="72">
        <f>SUM(M311:M313)</f>
        <v>47</v>
      </c>
      <c r="N314" s="91">
        <f>M314/D314</f>
        <v>0.039101497504159734</v>
      </c>
      <c r="O314" s="198"/>
    </row>
    <row r="315" spans="1:17" ht="15.75" thickTop="1">
      <c r="A315" s="291" t="s">
        <v>652</v>
      </c>
      <c r="B315" s="291"/>
      <c r="C315" s="100"/>
      <c r="D315" s="22"/>
      <c r="E315" s="22"/>
      <c r="F315" s="22"/>
      <c r="G315" s="22"/>
      <c r="H315" s="292"/>
      <c r="I315" s="292"/>
      <c r="J315" s="292"/>
      <c r="K315" s="292"/>
      <c r="L315" s="292"/>
      <c r="Q315" s="198"/>
    </row>
    <row r="316" spans="1:17" ht="15">
      <c r="A316" s="18"/>
      <c r="B316" s="19" t="s">
        <v>644</v>
      </c>
      <c r="D316" s="188"/>
      <c r="E316" s="188"/>
      <c r="F316" s="188"/>
      <c r="G316" s="188"/>
      <c r="H316" s="19"/>
      <c r="I316" s="19"/>
      <c r="J316" s="19"/>
      <c r="K316" s="19"/>
      <c r="L316" s="19"/>
      <c r="Q316" s="198"/>
    </row>
    <row r="317" spans="2:17" ht="15">
      <c r="B317" s="24" t="s">
        <v>645</v>
      </c>
      <c r="D317" s="17"/>
      <c r="E317" s="17"/>
      <c r="F317" s="17"/>
      <c r="G317" s="17"/>
      <c r="H317" s="290"/>
      <c r="I317" s="290"/>
      <c r="J317" s="290"/>
      <c r="K317" s="290"/>
      <c r="L317" s="290"/>
      <c r="Q317" s="198"/>
    </row>
    <row r="318" spans="1:17" ht="15.75" customHeight="1" thickBot="1">
      <c r="A318" s="18"/>
      <c r="B318" s="18"/>
      <c r="C318" s="18"/>
      <c r="D318" s="19"/>
      <c r="E318" s="19"/>
      <c r="F318" s="19"/>
      <c r="M318" s="25"/>
      <c r="N318" s="25"/>
      <c r="O318" s="25"/>
      <c r="P318" s="25"/>
      <c r="Q318" s="198"/>
    </row>
    <row r="319" spans="1:17" ht="15.75" thickTop="1">
      <c r="A319" s="63" t="s">
        <v>431</v>
      </c>
      <c r="B319" s="20"/>
      <c r="C319" s="20"/>
      <c r="D319" s="20"/>
      <c r="E319" s="20"/>
      <c r="F319" s="20"/>
      <c r="G319" s="20"/>
      <c r="H319" s="20"/>
      <c r="I319" s="20"/>
      <c r="J319" s="20"/>
      <c r="K319" s="20"/>
      <c r="L319" s="20"/>
      <c r="M319" s="20"/>
      <c r="N319" s="20"/>
      <c r="O319" s="20"/>
      <c r="P319" s="21"/>
      <c r="Q319" s="198"/>
    </row>
    <row r="320" spans="1:17" ht="18.75" customHeight="1">
      <c r="A320" s="265" t="s">
        <v>202</v>
      </c>
      <c r="B320" s="286"/>
      <c r="C320" s="302" t="s">
        <v>497</v>
      </c>
      <c r="D320" s="288" t="s">
        <v>283</v>
      </c>
      <c r="E320" s="232" t="s">
        <v>434</v>
      </c>
      <c r="F320" s="233"/>
      <c r="G320" s="282"/>
      <c r="H320" s="232" t="s">
        <v>435</v>
      </c>
      <c r="I320" s="233"/>
      <c r="J320" s="282"/>
      <c r="K320" s="271" t="s">
        <v>436</v>
      </c>
      <c r="L320" s="271"/>
      <c r="M320" s="271"/>
      <c r="N320" s="271" t="s">
        <v>437</v>
      </c>
      <c r="O320" s="271"/>
      <c r="P320" s="285"/>
      <c r="Q320" s="198"/>
    </row>
    <row r="321" spans="1:17" ht="27.75" customHeight="1">
      <c r="A321" s="269"/>
      <c r="B321" s="287"/>
      <c r="C321" s="303"/>
      <c r="D321" s="289"/>
      <c r="E321" s="4" t="s">
        <v>284</v>
      </c>
      <c r="F321" s="244" t="s">
        <v>285</v>
      </c>
      <c r="G321" s="272"/>
      <c r="H321" s="4" t="s">
        <v>284</v>
      </c>
      <c r="I321" s="244" t="s">
        <v>285</v>
      </c>
      <c r="J321" s="245"/>
      <c r="K321" s="4" t="s">
        <v>284</v>
      </c>
      <c r="L321" s="219" t="s">
        <v>285</v>
      </c>
      <c r="M321" s="219"/>
      <c r="N321" s="4" t="s">
        <v>284</v>
      </c>
      <c r="O321" s="219" t="s">
        <v>285</v>
      </c>
      <c r="P321" s="220"/>
      <c r="Q321" s="198"/>
    </row>
    <row r="322" spans="1:17" ht="15">
      <c r="A322" s="223" t="s">
        <v>432</v>
      </c>
      <c r="B322" s="224"/>
      <c r="C322" s="169">
        <v>40</v>
      </c>
      <c r="D322" s="9">
        <f>'Statistiques AFE 2009'!M67</f>
        <v>1952</v>
      </c>
      <c r="E322" s="9">
        <v>559</v>
      </c>
      <c r="F322" s="225">
        <f>E322/D322</f>
        <v>0.2863729508196721</v>
      </c>
      <c r="G322" s="226"/>
      <c r="H322" s="10">
        <v>559</v>
      </c>
      <c r="I322" s="225">
        <f>H322/D322</f>
        <v>0.2863729508196721</v>
      </c>
      <c r="J322" s="226"/>
      <c r="K322" s="10">
        <v>421</v>
      </c>
      <c r="L322" s="239">
        <f>K322/D322</f>
        <v>0.21567622950819673</v>
      </c>
      <c r="M322" s="239"/>
      <c r="N322" s="10">
        <v>413</v>
      </c>
      <c r="O322" s="239">
        <f>N322/D322</f>
        <v>0.21157786885245902</v>
      </c>
      <c r="P322" s="240"/>
      <c r="Q322" s="198"/>
    </row>
    <row r="323" spans="1:17" ht="15">
      <c r="A323" s="223" t="s">
        <v>433</v>
      </c>
      <c r="B323" s="224"/>
      <c r="C323" s="169">
        <v>34.5</v>
      </c>
      <c r="D323" s="9">
        <f>'Statistiques AFE 2009'!M68</f>
        <v>288</v>
      </c>
      <c r="E323" s="9">
        <v>40</v>
      </c>
      <c r="F323" s="225">
        <f>E323/D323</f>
        <v>0.1388888888888889</v>
      </c>
      <c r="G323" s="226"/>
      <c r="H323" s="10">
        <v>38</v>
      </c>
      <c r="I323" s="225">
        <f>H323/D323</f>
        <v>0.13194444444444445</v>
      </c>
      <c r="J323" s="226"/>
      <c r="K323" s="10">
        <v>101</v>
      </c>
      <c r="L323" s="239">
        <f>K323/D323</f>
        <v>0.3506944444444444</v>
      </c>
      <c r="M323" s="239"/>
      <c r="N323" s="10">
        <v>109</v>
      </c>
      <c r="O323" s="239">
        <f>N323/D323</f>
        <v>0.3784722222222222</v>
      </c>
      <c r="P323" s="240"/>
      <c r="Q323" s="198"/>
    </row>
    <row r="324" spans="1:17" ht="15.75" thickBot="1">
      <c r="A324" s="235" t="s">
        <v>286</v>
      </c>
      <c r="B324" s="236"/>
      <c r="C324" s="171">
        <v>39.21</v>
      </c>
      <c r="D324" s="11">
        <f>SUM(D322:D323)</f>
        <v>2240</v>
      </c>
      <c r="E324" s="11">
        <f>SUM(E322:E323)</f>
        <v>599</v>
      </c>
      <c r="F324" s="237">
        <f>E324/D324</f>
        <v>0.2674107142857143</v>
      </c>
      <c r="G324" s="238"/>
      <c r="H324" s="12">
        <f>SUM(H322:H323)</f>
        <v>597</v>
      </c>
      <c r="I324" s="263">
        <f>H324/D324</f>
        <v>0.26651785714285714</v>
      </c>
      <c r="J324" s="263"/>
      <c r="K324" s="12">
        <f>SUM(K322:K323)</f>
        <v>522</v>
      </c>
      <c r="L324" s="263">
        <f>K324/D324</f>
        <v>0.2330357142857143</v>
      </c>
      <c r="M324" s="263"/>
      <c r="N324" s="12">
        <f>SUM(N322:N323)</f>
        <v>522</v>
      </c>
      <c r="O324" s="263">
        <f>N324/D324</f>
        <v>0.2330357142857143</v>
      </c>
      <c r="P324" s="264"/>
      <c r="Q324" s="198"/>
    </row>
    <row r="325" spans="1:17" ht="15.75" thickTop="1">
      <c r="A325" s="241" t="s">
        <v>287</v>
      </c>
      <c r="B325" s="241"/>
      <c r="C325" s="18"/>
      <c r="D325" s="23"/>
      <c r="E325" s="23"/>
      <c r="F325" s="23"/>
      <c r="M325" s="25"/>
      <c r="N325" s="25"/>
      <c r="O325" s="25"/>
      <c r="P325" s="25"/>
      <c r="Q325" s="198"/>
    </row>
    <row r="326" spans="2:17" ht="15">
      <c r="B326" s="24" t="s">
        <v>653</v>
      </c>
      <c r="D326" s="17"/>
      <c r="E326" s="17"/>
      <c r="F326" s="17"/>
      <c r="M326" s="25"/>
      <c r="N326" s="25"/>
      <c r="O326" s="25"/>
      <c r="P326" s="25"/>
      <c r="Q326" s="198"/>
    </row>
    <row r="327" spans="2:17" ht="15">
      <c r="B327" s="24" t="s">
        <v>654</v>
      </c>
      <c r="D327" s="17"/>
      <c r="E327" s="17"/>
      <c r="F327" s="17"/>
      <c r="M327" s="25"/>
      <c r="N327" s="25"/>
      <c r="O327" s="25"/>
      <c r="P327" s="25"/>
      <c r="Q327" s="198"/>
    </row>
    <row r="328" spans="1:17" ht="15.75" thickBot="1">
      <c r="A328" s="18"/>
      <c r="B328" s="18"/>
      <c r="C328" s="18"/>
      <c r="D328" s="19"/>
      <c r="E328" s="19"/>
      <c r="F328" s="19"/>
      <c r="M328" s="25"/>
      <c r="N328" s="25"/>
      <c r="O328" s="25"/>
      <c r="P328" s="25"/>
      <c r="Q328" s="198"/>
    </row>
    <row r="329" spans="1:16" ht="15.75" thickTop="1">
      <c r="A329" s="63" t="s">
        <v>438</v>
      </c>
      <c r="B329" s="20"/>
      <c r="C329" s="20"/>
      <c r="D329" s="20"/>
      <c r="E329" s="20"/>
      <c r="F329" s="20"/>
      <c r="G329" s="20"/>
      <c r="H329" s="20"/>
      <c r="I329" s="20"/>
      <c r="J329" s="20"/>
      <c r="K329" s="20"/>
      <c r="L329" s="20"/>
      <c r="M329" s="20"/>
      <c r="N329" s="20"/>
      <c r="O329" s="215"/>
      <c r="P329" s="216"/>
    </row>
    <row r="330" spans="1:16" ht="12.75" customHeight="1">
      <c r="A330" s="231" t="s">
        <v>202</v>
      </c>
      <c r="B330" s="231"/>
      <c r="C330" s="302" t="s">
        <v>497</v>
      </c>
      <c r="D330" s="229" t="s">
        <v>283</v>
      </c>
      <c r="E330" s="232" t="s">
        <v>483</v>
      </c>
      <c r="F330" s="233"/>
      <c r="G330" s="233"/>
      <c r="H330" s="282"/>
      <c r="I330" s="232" t="s">
        <v>484</v>
      </c>
      <c r="J330" s="233"/>
      <c r="K330" s="233"/>
      <c r="L330" s="282"/>
      <c r="M330" s="232" t="s">
        <v>485</v>
      </c>
      <c r="N330" s="233"/>
      <c r="O330" s="233"/>
      <c r="P330" s="234"/>
    </row>
    <row r="331" spans="1:16" ht="15">
      <c r="A331" s="231"/>
      <c r="B331" s="231"/>
      <c r="C331" s="303"/>
      <c r="D331" s="230"/>
      <c r="E331" s="242" t="s">
        <v>284</v>
      </c>
      <c r="F331" s="243"/>
      <c r="G331" s="244" t="s">
        <v>285</v>
      </c>
      <c r="H331" s="245"/>
      <c r="I331" s="242" t="s">
        <v>284</v>
      </c>
      <c r="J331" s="243"/>
      <c r="K331" s="244" t="s">
        <v>285</v>
      </c>
      <c r="L331" s="245"/>
      <c r="M331" s="242" t="s">
        <v>284</v>
      </c>
      <c r="N331" s="243"/>
      <c r="O331" s="244" t="s">
        <v>285</v>
      </c>
      <c r="P331" s="295"/>
    </row>
    <row r="332" spans="1:17" ht="15">
      <c r="A332" s="277" t="s">
        <v>479</v>
      </c>
      <c r="B332" s="278"/>
      <c r="C332" s="172">
        <v>28.42</v>
      </c>
      <c r="D332" s="9">
        <f>'Statistiques AFE 2009'!M98</f>
        <v>445</v>
      </c>
      <c r="E332" s="281">
        <v>247</v>
      </c>
      <c r="F332" s="281"/>
      <c r="G332" s="239">
        <f>E332/D332</f>
        <v>0.5550561797752809</v>
      </c>
      <c r="H332" s="239"/>
      <c r="I332" s="281">
        <v>146</v>
      </c>
      <c r="J332" s="281"/>
      <c r="K332" s="239">
        <f>I332/D332</f>
        <v>0.32808988764044944</v>
      </c>
      <c r="L332" s="239"/>
      <c r="M332" s="281">
        <v>52</v>
      </c>
      <c r="N332" s="281"/>
      <c r="O332" s="239">
        <f>M332/D332</f>
        <v>0.11685393258426967</v>
      </c>
      <c r="P332" s="240"/>
      <c r="Q332" s="198"/>
    </row>
    <row r="333" spans="1:16" ht="15.75" thickBot="1">
      <c r="A333" s="235" t="s">
        <v>286</v>
      </c>
      <c r="B333" s="236"/>
      <c r="C333" s="189">
        <v>28.42</v>
      </c>
      <c r="D333" s="12">
        <f>D332</f>
        <v>445</v>
      </c>
      <c r="E333" s="293">
        <f>SUM(E325:E332)</f>
        <v>247</v>
      </c>
      <c r="F333" s="294"/>
      <c r="G333" s="263">
        <f>E333/D333</f>
        <v>0.5550561797752809</v>
      </c>
      <c r="H333" s="263"/>
      <c r="I333" s="283">
        <f>SUM(I325:I332)</f>
        <v>146</v>
      </c>
      <c r="J333" s="283"/>
      <c r="K333" s="263">
        <f>I333/D333</f>
        <v>0.32808988764044944</v>
      </c>
      <c r="L333" s="263"/>
      <c r="M333" s="283">
        <f>SUM(M325:M332)</f>
        <v>52</v>
      </c>
      <c r="N333" s="283"/>
      <c r="O333" s="263">
        <f>M333/D333</f>
        <v>0.11685393258426967</v>
      </c>
      <c r="P333" s="264"/>
    </row>
    <row r="334" spans="1:17" ht="15.75" thickTop="1">
      <c r="A334" s="291" t="s">
        <v>643</v>
      </c>
      <c r="B334" s="291"/>
      <c r="C334" s="100"/>
      <c r="D334" s="22"/>
      <c r="E334" s="22"/>
      <c r="F334" s="22"/>
      <c r="G334" s="22"/>
      <c r="H334" s="292"/>
      <c r="I334" s="292"/>
      <c r="J334" s="292"/>
      <c r="K334" s="292"/>
      <c r="L334" s="292"/>
      <c r="Q334" s="198"/>
    </row>
    <row r="335" spans="2:17" ht="15">
      <c r="B335" s="24" t="s">
        <v>649</v>
      </c>
      <c r="H335" s="290"/>
      <c r="I335" s="290"/>
      <c r="J335" s="290"/>
      <c r="K335" s="290"/>
      <c r="L335" s="290"/>
      <c r="Q335" s="198"/>
    </row>
    <row r="336" spans="1:17" ht="15.75" customHeight="1">
      <c r="A336" s="18"/>
      <c r="B336" s="18"/>
      <c r="M336" s="25"/>
      <c r="N336" s="25"/>
      <c r="O336" s="25"/>
      <c r="P336" s="25"/>
      <c r="Q336" s="198"/>
    </row>
    <row r="337" spans="1:17" ht="15.75" customHeight="1">
      <c r="A337" s="18"/>
      <c r="B337" s="18"/>
      <c r="C337" s="18"/>
      <c r="D337" s="19"/>
      <c r="E337" s="19"/>
      <c r="F337" s="19"/>
      <c r="M337" s="25"/>
      <c r="N337" s="25"/>
      <c r="O337" s="25"/>
      <c r="P337" s="25"/>
      <c r="Q337" s="198"/>
    </row>
    <row r="338" spans="1:17" ht="15.75" customHeight="1" thickBot="1">
      <c r="A338" s="18"/>
      <c r="B338" s="18"/>
      <c r="C338" s="18"/>
      <c r="D338" s="19"/>
      <c r="E338" s="94"/>
      <c r="F338" s="19"/>
      <c r="M338" s="25"/>
      <c r="N338" s="25"/>
      <c r="O338" s="25"/>
      <c r="P338" s="25"/>
      <c r="Q338" s="198"/>
    </row>
    <row r="339" spans="1:17" ht="15.75" thickTop="1">
      <c r="A339" s="63" t="s">
        <v>443</v>
      </c>
      <c r="B339" s="20"/>
      <c r="C339" s="20"/>
      <c r="D339" s="20"/>
      <c r="E339" s="20"/>
      <c r="F339" s="20"/>
      <c r="G339" s="20"/>
      <c r="H339" s="20"/>
      <c r="I339" s="20"/>
      <c r="J339" s="20"/>
      <c r="K339" s="20"/>
      <c r="L339" s="20"/>
      <c r="M339" s="20"/>
      <c r="N339" s="20"/>
      <c r="O339" s="20"/>
      <c r="P339" s="21"/>
      <c r="Q339" s="198"/>
    </row>
    <row r="340" spans="1:17" ht="17.25" customHeight="1">
      <c r="A340" s="265" t="s">
        <v>202</v>
      </c>
      <c r="B340" s="266"/>
      <c r="C340" s="286" t="s">
        <v>497</v>
      </c>
      <c r="D340" s="271" t="s">
        <v>283</v>
      </c>
      <c r="E340" s="273" t="s">
        <v>439</v>
      </c>
      <c r="F340" s="273"/>
      <c r="G340" s="273"/>
      <c r="H340" s="273"/>
      <c r="I340" s="273"/>
      <c r="J340" s="273"/>
      <c r="K340" s="275" t="s">
        <v>440</v>
      </c>
      <c r="L340" s="275"/>
      <c r="M340" s="275"/>
      <c r="N340" s="275"/>
      <c r="O340" s="275"/>
      <c r="P340" s="276"/>
      <c r="Q340" s="198"/>
    </row>
    <row r="341" spans="1:17" ht="27" customHeight="1">
      <c r="A341" s="267"/>
      <c r="B341" s="268"/>
      <c r="C341" s="343"/>
      <c r="D341" s="271"/>
      <c r="E341" s="274" t="s">
        <v>441</v>
      </c>
      <c r="F341" s="274"/>
      <c r="G341" s="274"/>
      <c r="H341" s="274" t="s">
        <v>662</v>
      </c>
      <c r="I341" s="274"/>
      <c r="J341" s="274"/>
      <c r="K341" s="271" t="s">
        <v>442</v>
      </c>
      <c r="L341" s="271"/>
      <c r="M341" s="271"/>
      <c r="N341" s="271" t="s">
        <v>647</v>
      </c>
      <c r="O341" s="271"/>
      <c r="P341" s="271"/>
      <c r="Q341" s="198"/>
    </row>
    <row r="342" spans="1:17" ht="27.75" customHeight="1">
      <c r="A342" s="269"/>
      <c r="B342" s="270"/>
      <c r="C342" s="287"/>
      <c r="D342" s="271"/>
      <c r="E342" s="4" t="s">
        <v>284</v>
      </c>
      <c r="F342" s="244" t="s">
        <v>285</v>
      </c>
      <c r="G342" s="272"/>
      <c r="H342" s="4" t="s">
        <v>284</v>
      </c>
      <c r="I342" s="244" t="s">
        <v>285</v>
      </c>
      <c r="J342" s="245"/>
      <c r="K342" s="4" t="s">
        <v>284</v>
      </c>
      <c r="L342" s="219" t="s">
        <v>285</v>
      </c>
      <c r="M342" s="219"/>
      <c r="N342" s="4" t="s">
        <v>284</v>
      </c>
      <c r="O342" s="219" t="s">
        <v>285</v>
      </c>
      <c r="P342" s="220"/>
      <c r="Q342" s="198"/>
    </row>
    <row r="343" spans="1:17" ht="15">
      <c r="A343" s="221" t="s">
        <v>447</v>
      </c>
      <c r="B343" s="222"/>
      <c r="C343" s="169">
        <v>34.18</v>
      </c>
      <c r="D343" s="9">
        <f>'Statistiques AFE 2009'!M71</f>
        <v>182</v>
      </c>
      <c r="E343" s="9">
        <v>107</v>
      </c>
      <c r="F343" s="225">
        <f aca="true" t="shared" si="33" ref="F343:F348">E343/D343</f>
        <v>0.5879120879120879</v>
      </c>
      <c r="G343" s="226"/>
      <c r="H343" s="10">
        <v>105</v>
      </c>
      <c r="I343" s="225">
        <f aca="true" t="shared" si="34" ref="I343:I348">H343/D343</f>
        <v>0.5769230769230769</v>
      </c>
      <c r="J343" s="226"/>
      <c r="K343" s="10">
        <v>77</v>
      </c>
      <c r="L343" s="239">
        <f aca="true" t="shared" si="35" ref="L343:L348">K343/D343</f>
        <v>0.4230769230769231</v>
      </c>
      <c r="M343" s="239"/>
      <c r="N343" s="10">
        <v>74</v>
      </c>
      <c r="O343" s="239">
        <f aca="true" t="shared" si="36" ref="O343:O348">N343/D343</f>
        <v>0.4065934065934066</v>
      </c>
      <c r="P343" s="240"/>
      <c r="Q343" s="198"/>
    </row>
    <row r="344" spans="1:17" ht="15">
      <c r="A344" s="227" t="s">
        <v>444</v>
      </c>
      <c r="B344" s="228"/>
      <c r="C344" s="170">
        <v>24.06</v>
      </c>
      <c r="D344" s="9">
        <f>'Statistiques AFE 2009'!M72</f>
        <v>70</v>
      </c>
      <c r="E344" s="9">
        <v>43</v>
      </c>
      <c r="F344" s="225">
        <f t="shared" si="33"/>
        <v>0.6142857142857143</v>
      </c>
      <c r="G344" s="226"/>
      <c r="H344" s="10">
        <v>45</v>
      </c>
      <c r="I344" s="225">
        <f t="shared" si="34"/>
        <v>0.6428571428571429</v>
      </c>
      <c r="J344" s="226"/>
      <c r="K344" s="10">
        <v>27</v>
      </c>
      <c r="L344" s="239">
        <f t="shared" si="35"/>
        <v>0.38571428571428573</v>
      </c>
      <c r="M344" s="239"/>
      <c r="N344" s="10">
        <v>23</v>
      </c>
      <c r="O344" s="239">
        <f t="shared" si="36"/>
        <v>0.32857142857142857</v>
      </c>
      <c r="P344" s="240"/>
      <c r="Q344" s="198"/>
    </row>
    <row r="345" spans="1:17" ht="15">
      <c r="A345" s="227" t="s">
        <v>445</v>
      </c>
      <c r="B345" s="228"/>
      <c r="C345" s="170">
        <v>31.25</v>
      </c>
      <c r="D345" s="9">
        <f>'Statistiques AFE 2009'!M73</f>
        <v>50</v>
      </c>
      <c r="E345" s="9">
        <v>6</v>
      </c>
      <c r="F345" s="225">
        <f t="shared" si="33"/>
        <v>0.12</v>
      </c>
      <c r="G345" s="226"/>
      <c r="H345" s="10">
        <v>6</v>
      </c>
      <c r="I345" s="225">
        <f t="shared" si="34"/>
        <v>0.12</v>
      </c>
      <c r="J345" s="226"/>
      <c r="K345" s="10">
        <v>39</v>
      </c>
      <c r="L345" s="239">
        <f t="shared" si="35"/>
        <v>0.78</v>
      </c>
      <c r="M345" s="239"/>
      <c r="N345" s="10">
        <v>46</v>
      </c>
      <c r="O345" s="239">
        <f t="shared" si="36"/>
        <v>0.92</v>
      </c>
      <c r="P345" s="240"/>
      <c r="Q345" s="198"/>
    </row>
    <row r="346" spans="1:17" ht="15">
      <c r="A346" s="227" t="s">
        <v>446</v>
      </c>
      <c r="B346" s="228"/>
      <c r="C346" s="170">
        <v>34.2</v>
      </c>
      <c r="D346" s="9">
        <f>'Statistiques AFE 2009'!M74</f>
        <v>64</v>
      </c>
      <c r="E346" s="9">
        <v>14</v>
      </c>
      <c r="F346" s="225">
        <f t="shared" si="33"/>
        <v>0.21875</v>
      </c>
      <c r="G346" s="226"/>
      <c r="H346" s="10">
        <v>14</v>
      </c>
      <c r="I346" s="225">
        <f t="shared" si="34"/>
        <v>0.21875</v>
      </c>
      <c r="J346" s="226"/>
      <c r="K346" s="10">
        <v>50</v>
      </c>
      <c r="L346" s="239">
        <f t="shared" si="35"/>
        <v>0.78125</v>
      </c>
      <c r="M346" s="239"/>
      <c r="N346" s="10">
        <v>50</v>
      </c>
      <c r="O346" s="239">
        <f t="shared" si="36"/>
        <v>0.78125</v>
      </c>
      <c r="P346" s="240"/>
      <c r="Q346" s="198"/>
    </row>
    <row r="347" spans="1:17" ht="15">
      <c r="A347" s="223" t="s">
        <v>448</v>
      </c>
      <c r="B347" s="224"/>
      <c r="C347" s="169">
        <v>5.33</v>
      </c>
      <c r="D347" s="9">
        <f>'Statistiques AFE 2009'!M75</f>
        <v>4</v>
      </c>
      <c r="E347" s="9">
        <v>1</v>
      </c>
      <c r="F347" s="225">
        <f t="shared" si="33"/>
        <v>0.25</v>
      </c>
      <c r="G347" s="226"/>
      <c r="H347" s="10">
        <v>1</v>
      </c>
      <c r="I347" s="225">
        <f t="shared" si="34"/>
        <v>0.25</v>
      </c>
      <c r="J347" s="226"/>
      <c r="K347" s="10">
        <v>3</v>
      </c>
      <c r="L347" s="239">
        <f t="shared" si="35"/>
        <v>0.75</v>
      </c>
      <c r="M347" s="239"/>
      <c r="N347" s="10">
        <v>3</v>
      </c>
      <c r="O347" s="239">
        <f t="shared" si="36"/>
        <v>0.75</v>
      </c>
      <c r="P347" s="240"/>
      <c r="Q347" s="198"/>
    </row>
    <row r="348" spans="1:17" ht="15.75" thickBot="1">
      <c r="A348" s="235" t="s">
        <v>286</v>
      </c>
      <c r="B348" s="236"/>
      <c r="C348" s="171">
        <v>29.67</v>
      </c>
      <c r="D348" s="11">
        <f>SUM(D343:D347)</f>
        <v>370</v>
      </c>
      <c r="E348" s="11">
        <f>SUM(E343:E347)</f>
        <v>171</v>
      </c>
      <c r="F348" s="237">
        <f t="shared" si="33"/>
        <v>0.46216216216216216</v>
      </c>
      <c r="G348" s="238"/>
      <c r="H348" s="12">
        <f>SUM(H343:H347)</f>
        <v>171</v>
      </c>
      <c r="I348" s="263">
        <f t="shared" si="34"/>
        <v>0.46216216216216216</v>
      </c>
      <c r="J348" s="263"/>
      <c r="K348" s="12">
        <f>SUM(K343:K347)</f>
        <v>196</v>
      </c>
      <c r="L348" s="263">
        <f t="shared" si="35"/>
        <v>0.5297297297297298</v>
      </c>
      <c r="M348" s="263"/>
      <c r="N348" s="12">
        <f>SUM(N343:N347)</f>
        <v>196</v>
      </c>
      <c r="O348" s="263">
        <f t="shared" si="36"/>
        <v>0.5297297297297298</v>
      </c>
      <c r="P348" s="264"/>
      <c r="Q348" s="198"/>
    </row>
    <row r="349" spans="1:17" ht="15.75" thickTop="1">
      <c r="A349" s="241" t="s">
        <v>652</v>
      </c>
      <c r="B349" s="241"/>
      <c r="C349" s="18"/>
      <c r="D349" s="23"/>
      <c r="E349" s="23"/>
      <c r="F349" s="23"/>
      <c r="M349" s="25"/>
      <c r="N349" s="25"/>
      <c r="O349" s="25"/>
      <c r="P349" s="25"/>
      <c r="Q349" s="198"/>
    </row>
    <row r="350" spans="2:17" ht="15">
      <c r="B350" s="24" t="s">
        <v>646</v>
      </c>
      <c r="D350" s="17"/>
      <c r="E350" s="17"/>
      <c r="F350" s="17"/>
      <c r="G350" s="17"/>
      <c r="M350" s="25"/>
      <c r="N350" s="25"/>
      <c r="O350" s="25"/>
      <c r="P350" s="25"/>
      <c r="Q350" s="198"/>
    </row>
    <row r="351" spans="1:17" ht="15">
      <c r="A351" s="18"/>
      <c r="B351" s="19" t="s">
        <v>648</v>
      </c>
      <c r="D351" s="19"/>
      <c r="E351" s="19"/>
      <c r="F351" s="19"/>
      <c r="M351" s="25"/>
      <c r="N351" s="25"/>
      <c r="O351" s="25"/>
      <c r="P351" s="25"/>
      <c r="Q351" s="198"/>
    </row>
    <row r="352" spans="1:17" ht="15.75" customHeight="1" thickBot="1">
      <c r="A352" s="18"/>
      <c r="B352" s="18"/>
      <c r="C352" s="18"/>
      <c r="D352" s="19"/>
      <c r="E352" s="19"/>
      <c r="F352" s="19"/>
      <c r="M352" s="25"/>
      <c r="N352" s="25"/>
      <c r="O352" s="25"/>
      <c r="P352" s="25"/>
      <c r="Q352" s="198"/>
    </row>
    <row r="353" spans="1:17" ht="15.75" thickTop="1">
      <c r="A353" s="63" t="s">
        <v>449</v>
      </c>
      <c r="B353" s="20"/>
      <c r="C353" s="20"/>
      <c r="D353" s="20"/>
      <c r="E353" s="20"/>
      <c r="F353" s="20"/>
      <c r="G353" s="20"/>
      <c r="H353" s="20"/>
      <c r="I353" s="20"/>
      <c r="J353" s="20"/>
      <c r="K353" s="20"/>
      <c r="L353" s="20"/>
      <c r="M353" s="20"/>
      <c r="N353" s="20"/>
      <c r="O353" s="20"/>
      <c r="P353" s="21"/>
      <c r="Q353" s="198"/>
    </row>
    <row r="354" spans="1:17" ht="15">
      <c r="A354" s="265" t="s">
        <v>202</v>
      </c>
      <c r="B354" s="266"/>
      <c r="C354" s="286" t="s">
        <v>497</v>
      </c>
      <c r="D354" s="271" t="s">
        <v>283</v>
      </c>
      <c r="E354" s="273" t="s">
        <v>455</v>
      </c>
      <c r="F354" s="273"/>
      <c r="G354" s="273"/>
      <c r="H354" s="273"/>
      <c r="I354" s="273"/>
      <c r="J354" s="273"/>
      <c r="K354" s="275" t="s">
        <v>456</v>
      </c>
      <c r="L354" s="275"/>
      <c r="M354" s="275"/>
      <c r="N354" s="275"/>
      <c r="O354" s="275"/>
      <c r="P354" s="276"/>
      <c r="Q354" s="198"/>
    </row>
    <row r="355" spans="1:17" ht="27" customHeight="1">
      <c r="A355" s="267"/>
      <c r="B355" s="268"/>
      <c r="C355" s="343"/>
      <c r="D355" s="271"/>
      <c r="E355" s="274" t="s">
        <v>592</v>
      </c>
      <c r="F355" s="274"/>
      <c r="G355" s="274"/>
      <c r="H355" s="274" t="s">
        <v>663</v>
      </c>
      <c r="I355" s="274"/>
      <c r="J355" s="274"/>
      <c r="K355" s="271" t="s">
        <v>593</v>
      </c>
      <c r="L355" s="271"/>
      <c r="M355" s="271"/>
      <c r="N355" s="271" t="s">
        <v>664</v>
      </c>
      <c r="O355" s="271"/>
      <c r="P355" s="271"/>
      <c r="Q355" s="198"/>
    </row>
    <row r="356" spans="1:17" ht="27.75" customHeight="1">
      <c r="A356" s="269"/>
      <c r="B356" s="270"/>
      <c r="C356" s="287"/>
      <c r="D356" s="271"/>
      <c r="E356" s="4" t="s">
        <v>284</v>
      </c>
      <c r="F356" s="244" t="s">
        <v>285</v>
      </c>
      <c r="G356" s="272"/>
      <c r="H356" s="4" t="s">
        <v>284</v>
      </c>
      <c r="I356" s="244" t="s">
        <v>285</v>
      </c>
      <c r="J356" s="245"/>
      <c r="K356" s="4" t="s">
        <v>284</v>
      </c>
      <c r="L356" s="219" t="s">
        <v>285</v>
      </c>
      <c r="M356" s="219"/>
      <c r="N356" s="4" t="s">
        <v>284</v>
      </c>
      <c r="O356" s="219" t="s">
        <v>285</v>
      </c>
      <c r="P356" s="220"/>
      <c r="Q356" s="198"/>
    </row>
    <row r="357" spans="1:17" ht="15">
      <c r="A357" s="221" t="s">
        <v>450</v>
      </c>
      <c r="B357" s="222"/>
      <c r="C357" s="169">
        <v>35.57</v>
      </c>
      <c r="D357" s="9">
        <f>'Statistiques AFE 2009'!M112</f>
        <v>1192</v>
      </c>
      <c r="E357" s="9">
        <v>271</v>
      </c>
      <c r="F357" s="225">
        <f aca="true" t="shared" si="37" ref="F357:F362">E357/D357</f>
        <v>0.2273489932885906</v>
      </c>
      <c r="G357" s="226"/>
      <c r="H357" s="10">
        <v>270</v>
      </c>
      <c r="I357" s="225">
        <f aca="true" t="shared" si="38" ref="I357:I362">H357/D357</f>
        <v>0.22651006711409397</v>
      </c>
      <c r="J357" s="226"/>
      <c r="K357" s="10">
        <v>328</v>
      </c>
      <c r="L357" s="239">
        <f aca="true" t="shared" si="39" ref="L357:L362">K357/D357</f>
        <v>0.2751677852348993</v>
      </c>
      <c r="M357" s="239"/>
      <c r="N357" s="10">
        <v>323</v>
      </c>
      <c r="O357" s="239">
        <f aca="true" t="shared" si="40" ref="O357:O362">N357/D357</f>
        <v>0.2709731543624161</v>
      </c>
      <c r="P357" s="240"/>
      <c r="Q357" s="198"/>
    </row>
    <row r="358" spans="1:17" ht="15">
      <c r="A358" s="227" t="s">
        <v>451</v>
      </c>
      <c r="B358" s="228"/>
      <c r="C358" s="170">
        <v>18.86</v>
      </c>
      <c r="D358" s="9">
        <f>'Statistiques AFE 2009'!M113</f>
        <v>57</v>
      </c>
      <c r="E358" s="9">
        <v>12</v>
      </c>
      <c r="F358" s="225">
        <f t="shared" si="37"/>
        <v>0.21052631578947367</v>
      </c>
      <c r="G358" s="226"/>
      <c r="H358" s="10">
        <v>11</v>
      </c>
      <c r="I358" s="225">
        <f t="shared" si="38"/>
        <v>0.19298245614035087</v>
      </c>
      <c r="J358" s="226"/>
      <c r="K358" s="10">
        <v>17</v>
      </c>
      <c r="L358" s="239">
        <f t="shared" si="39"/>
        <v>0.2982456140350877</v>
      </c>
      <c r="M358" s="239"/>
      <c r="N358" s="10">
        <v>17</v>
      </c>
      <c r="O358" s="239">
        <f t="shared" si="40"/>
        <v>0.2982456140350877</v>
      </c>
      <c r="P358" s="240"/>
      <c r="Q358" s="198"/>
    </row>
    <row r="359" spans="1:17" ht="15">
      <c r="A359" s="227" t="s">
        <v>454</v>
      </c>
      <c r="B359" s="228"/>
      <c r="C359" s="170">
        <v>14.4</v>
      </c>
      <c r="D359" s="9">
        <f>'Statistiques AFE 2009'!M114</f>
        <v>212</v>
      </c>
      <c r="E359" s="9">
        <v>62</v>
      </c>
      <c r="F359" s="225">
        <f t="shared" si="37"/>
        <v>0.29245283018867924</v>
      </c>
      <c r="G359" s="226"/>
      <c r="H359" s="10">
        <v>60</v>
      </c>
      <c r="I359" s="225">
        <f t="shared" si="38"/>
        <v>0.2830188679245283</v>
      </c>
      <c r="J359" s="226"/>
      <c r="K359" s="10">
        <v>45</v>
      </c>
      <c r="L359" s="239">
        <f t="shared" si="39"/>
        <v>0.21226415094339623</v>
      </c>
      <c r="M359" s="239"/>
      <c r="N359" s="10">
        <v>44</v>
      </c>
      <c r="O359" s="239">
        <f t="shared" si="40"/>
        <v>0.20754716981132076</v>
      </c>
      <c r="P359" s="240"/>
      <c r="Q359" s="198"/>
    </row>
    <row r="360" spans="1:17" ht="15">
      <c r="A360" s="227" t="s">
        <v>453</v>
      </c>
      <c r="B360" s="228"/>
      <c r="C360" s="170">
        <v>31.32</v>
      </c>
      <c r="D360" s="9">
        <f>'Statistiques AFE 2009'!M116</f>
        <v>1229</v>
      </c>
      <c r="E360" s="9">
        <v>281</v>
      </c>
      <c r="F360" s="225">
        <f t="shared" si="37"/>
        <v>0.22864117168429618</v>
      </c>
      <c r="G360" s="226"/>
      <c r="H360" s="10">
        <v>283</v>
      </c>
      <c r="I360" s="225">
        <f t="shared" si="38"/>
        <v>0.23026851098454026</v>
      </c>
      <c r="J360" s="226"/>
      <c r="K360" s="10">
        <v>329</v>
      </c>
      <c r="L360" s="239">
        <f t="shared" si="39"/>
        <v>0.2676973148901546</v>
      </c>
      <c r="M360" s="239"/>
      <c r="N360" s="10">
        <v>336</v>
      </c>
      <c r="O360" s="239">
        <f t="shared" si="40"/>
        <v>0.27339300244100895</v>
      </c>
      <c r="P360" s="240"/>
      <c r="Q360" s="198"/>
    </row>
    <row r="361" spans="1:17" ht="15">
      <c r="A361" s="223" t="s">
        <v>452</v>
      </c>
      <c r="B361" s="224"/>
      <c r="C361" s="169">
        <v>23.69</v>
      </c>
      <c r="D361" s="9">
        <f>'Statistiques AFE 2009'!M115</f>
        <v>238</v>
      </c>
      <c r="E361" s="9">
        <v>49</v>
      </c>
      <c r="F361" s="225">
        <f t="shared" si="37"/>
        <v>0.20588235294117646</v>
      </c>
      <c r="G361" s="226"/>
      <c r="H361" s="10">
        <v>47</v>
      </c>
      <c r="I361" s="225">
        <f t="shared" si="38"/>
        <v>0.19747899159663865</v>
      </c>
      <c r="J361" s="226"/>
      <c r="K361" s="10">
        <v>72</v>
      </c>
      <c r="L361" s="239">
        <f t="shared" si="39"/>
        <v>0.3025210084033613</v>
      </c>
      <c r="M361" s="239"/>
      <c r="N361" s="10">
        <v>70</v>
      </c>
      <c r="O361" s="239">
        <f t="shared" si="40"/>
        <v>0.29411764705882354</v>
      </c>
      <c r="P361" s="240"/>
      <c r="Q361" s="198"/>
    </row>
    <row r="362" spans="1:17" ht="15.75" thickBot="1">
      <c r="A362" s="235" t="s">
        <v>286</v>
      </c>
      <c r="B362" s="236"/>
      <c r="C362" s="171">
        <v>29.06</v>
      </c>
      <c r="D362" s="11">
        <f>SUM(D357:D361)</f>
        <v>2928</v>
      </c>
      <c r="E362" s="11">
        <f>SUM(E357:E361)</f>
        <v>675</v>
      </c>
      <c r="F362" s="237">
        <f t="shared" si="37"/>
        <v>0.2305327868852459</v>
      </c>
      <c r="G362" s="238"/>
      <c r="H362" s="12">
        <f>SUM(H357:H361)</f>
        <v>671</v>
      </c>
      <c r="I362" s="263">
        <f t="shared" si="38"/>
        <v>0.22916666666666666</v>
      </c>
      <c r="J362" s="263"/>
      <c r="K362" s="12">
        <f>SUM(K357:K361)</f>
        <v>791</v>
      </c>
      <c r="L362" s="263">
        <f t="shared" si="39"/>
        <v>0.2701502732240437</v>
      </c>
      <c r="M362" s="263"/>
      <c r="N362" s="12">
        <f>SUM(N357:N361)</f>
        <v>790</v>
      </c>
      <c r="O362" s="263">
        <f t="shared" si="40"/>
        <v>0.2698087431693989</v>
      </c>
      <c r="P362" s="264"/>
      <c r="Q362" s="198"/>
    </row>
    <row r="363" spans="1:16" ht="15.75" thickTop="1">
      <c r="A363" s="241" t="s">
        <v>652</v>
      </c>
      <c r="B363" s="241"/>
      <c r="C363" s="18"/>
      <c r="D363" s="23"/>
      <c r="E363" s="23"/>
      <c r="F363" s="23"/>
      <c r="M363" s="25"/>
      <c r="N363" s="25"/>
      <c r="O363" s="25"/>
      <c r="P363" s="25"/>
    </row>
    <row r="364" spans="2:16" ht="15">
      <c r="B364" s="24" t="s">
        <v>650</v>
      </c>
      <c r="D364" s="17"/>
      <c r="E364" s="17"/>
      <c r="F364" s="17"/>
      <c r="M364" s="25"/>
      <c r="N364" s="25"/>
      <c r="O364" s="25"/>
      <c r="P364" s="25"/>
    </row>
    <row r="365" spans="1:16" ht="15.75" customHeight="1">
      <c r="A365" s="18"/>
      <c r="B365" s="19" t="s">
        <v>651</v>
      </c>
      <c r="D365" s="19"/>
      <c r="E365" s="19"/>
      <c r="F365" s="19"/>
      <c r="M365" s="25"/>
      <c r="N365" s="25"/>
      <c r="O365" s="25"/>
      <c r="P365" s="25"/>
    </row>
    <row r="366" spans="1:16" ht="15.75" customHeight="1">
      <c r="A366" s="18"/>
      <c r="B366" s="18"/>
      <c r="C366" s="18"/>
      <c r="D366" s="19"/>
      <c r="E366" s="19"/>
      <c r="F366" s="19"/>
      <c r="M366" s="25"/>
      <c r="N366" s="25"/>
      <c r="O366" s="25"/>
      <c r="P366" s="25"/>
    </row>
  </sheetData>
  <mergeCells count="610">
    <mergeCell ref="K355:M355"/>
    <mergeCell ref="N355:P355"/>
    <mergeCell ref="E341:G341"/>
    <mergeCell ref="H341:J341"/>
    <mergeCell ref="K341:M341"/>
    <mergeCell ref="N341:P341"/>
    <mergeCell ref="O347:P347"/>
    <mergeCell ref="O348:P348"/>
    <mergeCell ref="O346:P346"/>
    <mergeCell ref="K354:P354"/>
    <mergeCell ref="C14:C15"/>
    <mergeCell ref="C28:C29"/>
    <mergeCell ref="B37:E37"/>
    <mergeCell ref="B39:E39"/>
    <mergeCell ref="B38:F38"/>
    <mergeCell ref="A17:B17"/>
    <mergeCell ref="A20:B20"/>
    <mergeCell ref="A36:B36"/>
    <mergeCell ref="C330:C331"/>
    <mergeCell ref="C340:C342"/>
    <mergeCell ref="C354:C356"/>
    <mergeCell ref="C279:C280"/>
    <mergeCell ref="C293:C294"/>
    <mergeCell ref="C308:C310"/>
    <mergeCell ref="C320:C321"/>
    <mergeCell ref="C220:C221"/>
    <mergeCell ref="C231:C232"/>
    <mergeCell ref="C243:C244"/>
    <mergeCell ref="C260:C261"/>
    <mergeCell ref="C208:C209"/>
    <mergeCell ref="H191:N191"/>
    <mergeCell ref="I178:J178"/>
    <mergeCell ref="K178:L178"/>
    <mergeCell ref="M178:N178"/>
    <mergeCell ref="H188:P188"/>
    <mergeCell ref="I193:J193"/>
    <mergeCell ref="K193:L193"/>
    <mergeCell ref="D193:D194"/>
    <mergeCell ref="E193:F193"/>
    <mergeCell ref="C98:C99"/>
    <mergeCell ref="C114:C115"/>
    <mergeCell ref="C127:C128"/>
    <mergeCell ref="C144:C145"/>
    <mergeCell ref="C44:C45"/>
    <mergeCell ref="C56:C57"/>
    <mergeCell ref="B51:E51"/>
    <mergeCell ref="B52:E52"/>
    <mergeCell ref="B53:D53"/>
    <mergeCell ref="A56:B57"/>
    <mergeCell ref="A169:B169"/>
    <mergeCell ref="H172:L172"/>
    <mergeCell ref="H173:P173"/>
    <mergeCell ref="G178:H178"/>
    <mergeCell ref="A171:B171"/>
    <mergeCell ref="C178:C179"/>
    <mergeCell ref="A170:B170"/>
    <mergeCell ref="C161:C162"/>
    <mergeCell ref="H156:L156"/>
    <mergeCell ref="H157:P157"/>
    <mergeCell ref="H158:N158"/>
    <mergeCell ref="E161:F161"/>
    <mergeCell ref="G161:H161"/>
    <mergeCell ref="I161:J161"/>
    <mergeCell ref="K161:L161"/>
    <mergeCell ref="O161:P161"/>
    <mergeCell ref="M161:N161"/>
    <mergeCell ref="O144:P144"/>
    <mergeCell ref="A152:B152"/>
    <mergeCell ref="A153:B153"/>
    <mergeCell ref="A154:B154"/>
    <mergeCell ref="M144:N144"/>
    <mergeCell ref="A155:B155"/>
    <mergeCell ref="A161:B162"/>
    <mergeCell ref="D161:D162"/>
    <mergeCell ref="H139:N139"/>
    <mergeCell ref="A144:B145"/>
    <mergeCell ref="D144:D145"/>
    <mergeCell ref="E144:F144"/>
    <mergeCell ref="G144:H144"/>
    <mergeCell ref="I144:J144"/>
    <mergeCell ref="K144:L144"/>
    <mergeCell ref="A135:B135"/>
    <mergeCell ref="A136:B136"/>
    <mergeCell ref="H137:L137"/>
    <mergeCell ref="H138:P138"/>
    <mergeCell ref="D127:D128"/>
    <mergeCell ref="E127:F127"/>
    <mergeCell ref="G127:H127"/>
    <mergeCell ref="A133:B133"/>
    <mergeCell ref="A130:B130"/>
    <mergeCell ref="H121:L121"/>
    <mergeCell ref="H122:P122"/>
    <mergeCell ref="H123:N123"/>
    <mergeCell ref="I127:J127"/>
    <mergeCell ref="K127:L127"/>
    <mergeCell ref="M127:N127"/>
    <mergeCell ref="H109:L109"/>
    <mergeCell ref="H110:P110"/>
    <mergeCell ref="H111:N111"/>
    <mergeCell ref="A114:B115"/>
    <mergeCell ref="D114:D115"/>
    <mergeCell ref="E114:F114"/>
    <mergeCell ref="G114:H114"/>
    <mergeCell ref="I322:J322"/>
    <mergeCell ref="L322:M322"/>
    <mergeCell ref="O322:P322"/>
    <mergeCell ref="A323:B323"/>
    <mergeCell ref="F323:G323"/>
    <mergeCell ref="I323:J323"/>
    <mergeCell ref="L323:M323"/>
    <mergeCell ref="O323:P323"/>
    <mergeCell ref="A322:B322"/>
    <mergeCell ref="A260:B261"/>
    <mergeCell ref="A233:B233"/>
    <mergeCell ref="B253:E253"/>
    <mergeCell ref="D243:D244"/>
    <mergeCell ref="E243:F243"/>
    <mergeCell ref="A234:B234"/>
    <mergeCell ref="A245:B245"/>
    <mergeCell ref="A247:B247"/>
    <mergeCell ref="B252:E252"/>
    <mergeCell ref="A224:B224"/>
    <mergeCell ref="A100:B100"/>
    <mergeCell ref="A105:B105"/>
    <mergeCell ref="A106:B106"/>
    <mergeCell ref="A131:B131"/>
    <mergeCell ref="A132:B132"/>
    <mergeCell ref="A120:B120"/>
    <mergeCell ref="A129:B129"/>
    <mergeCell ref="A127:B128"/>
    <mergeCell ref="A134:B134"/>
    <mergeCell ref="A180:B180"/>
    <mergeCell ref="A183:B183"/>
    <mergeCell ref="A195:B195"/>
    <mergeCell ref="A198:B198"/>
    <mergeCell ref="A193:B194"/>
    <mergeCell ref="A182:B182"/>
    <mergeCell ref="A116:B116"/>
    <mergeCell ref="A117:B117"/>
    <mergeCell ref="A118:B118"/>
    <mergeCell ref="A119:B119"/>
    <mergeCell ref="L321:M321"/>
    <mergeCell ref="O321:P321"/>
    <mergeCell ref="A86:B86"/>
    <mergeCell ref="A89:B89"/>
    <mergeCell ref="A90:B90"/>
    <mergeCell ref="A91:B91"/>
    <mergeCell ref="A92:B92"/>
    <mergeCell ref="A98:B99"/>
    <mergeCell ref="D98:D99"/>
    <mergeCell ref="D260:D261"/>
    <mergeCell ref="H95:N95"/>
    <mergeCell ref="A315:B315"/>
    <mergeCell ref="H315:L315"/>
    <mergeCell ref="E98:F98"/>
    <mergeCell ref="G98:H98"/>
    <mergeCell ref="I98:J98"/>
    <mergeCell ref="K98:L98"/>
    <mergeCell ref="E260:J260"/>
    <mergeCell ref="A107:B107"/>
    <mergeCell ref="A108:B108"/>
    <mergeCell ref="I84:J84"/>
    <mergeCell ref="K84:L84"/>
    <mergeCell ref="H93:L93"/>
    <mergeCell ref="H94:P94"/>
    <mergeCell ref="D84:D85"/>
    <mergeCell ref="E84:F84"/>
    <mergeCell ref="G84:H84"/>
    <mergeCell ref="C84:C85"/>
    <mergeCell ref="H81:P81"/>
    <mergeCell ref="H82:N82"/>
    <mergeCell ref="B78:E78"/>
    <mergeCell ref="B80:C80"/>
    <mergeCell ref="B79:G79"/>
    <mergeCell ref="K70:L70"/>
    <mergeCell ref="A47:B47"/>
    <mergeCell ref="A74:B74"/>
    <mergeCell ref="A75:B75"/>
    <mergeCell ref="D70:D71"/>
    <mergeCell ref="E70:F70"/>
    <mergeCell ref="G70:H70"/>
    <mergeCell ref="I70:J70"/>
    <mergeCell ref="C70:C71"/>
    <mergeCell ref="H66:P66"/>
    <mergeCell ref="H21:L21"/>
    <mergeCell ref="A19:B19"/>
    <mergeCell ref="A48:B48"/>
    <mergeCell ref="D56:D57"/>
    <mergeCell ref="E56:F56"/>
    <mergeCell ref="H25:P25"/>
    <mergeCell ref="H26:N26"/>
    <mergeCell ref="A32:B32"/>
    <mergeCell ref="G56:H56"/>
    <mergeCell ref="I56:J56"/>
    <mergeCell ref="A7:B7"/>
    <mergeCell ref="A46:B46"/>
    <mergeCell ref="A49:B49"/>
    <mergeCell ref="H54:L54"/>
    <mergeCell ref="A8:B8"/>
    <mergeCell ref="H8:L8"/>
    <mergeCell ref="A16:B16"/>
    <mergeCell ref="A44:B45"/>
    <mergeCell ref="A18:B18"/>
    <mergeCell ref="B40:D40"/>
    <mergeCell ref="H305:P305"/>
    <mergeCell ref="A58:B58"/>
    <mergeCell ref="A61:B61"/>
    <mergeCell ref="A62:B62"/>
    <mergeCell ref="H65:L65"/>
    <mergeCell ref="H67:N67"/>
    <mergeCell ref="A70:B71"/>
    <mergeCell ref="A178:B179"/>
    <mergeCell ref="D178:D179"/>
    <mergeCell ref="E178:F178"/>
    <mergeCell ref="I3:J3"/>
    <mergeCell ref="K3:L3"/>
    <mergeCell ref="A30:B30"/>
    <mergeCell ref="D44:D45"/>
    <mergeCell ref="E44:F44"/>
    <mergeCell ref="G44:H44"/>
    <mergeCell ref="I44:J44"/>
    <mergeCell ref="H11:L11"/>
    <mergeCell ref="A5:B5"/>
    <mergeCell ref="A3:B4"/>
    <mergeCell ref="D3:D4"/>
    <mergeCell ref="E3:F3"/>
    <mergeCell ref="G3:H3"/>
    <mergeCell ref="C3:C4"/>
    <mergeCell ref="H40:L40"/>
    <mergeCell ref="H41:P41"/>
    <mergeCell ref="K44:L44"/>
    <mergeCell ref="A6:B6"/>
    <mergeCell ref="A14:B15"/>
    <mergeCell ref="H42:N42"/>
    <mergeCell ref="A33:B33"/>
    <mergeCell ref="A34:B34"/>
    <mergeCell ref="A35:B35"/>
    <mergeCell ref="A31:B31"/>
    <mergeCell ref="Q3:R3"/>
    <mergeCell ref="E14:F14"/>
    <mergeCell ref="G14:H14"/>
    <mergeCell ref="I14:J14"/>
    <mergeCell ref="K14:L14"/>
    <mergeCell ref="M14:N14"/>
    <mergeCell ref="O14:P14"/>
    <mergeCell ref="Q14:R14"/>
    <mergeCell ref="M3:N3"/>
    <mergeCell ref="O3:P3"/>
    <mergeCell ref="S14:T14"/>
    <mergeCell ref="A28:B29"/>
    <mergeCell ref="D28:D29"/>
    <mergeCell ref="E28:F28"/>
    <mergeCell ref="G28:H28"/>
    <mergeCell ref="I28:J28"/>
    <mergeCell ref="K28:L28"/>
    <mergeCell ref="M28:N28"/>
    <mergeCell ref="O28:P28"/>
    <mergeCell ref="D14:D15"/>
    <mergeCell ref="Q161:R161"/>
    <mergeCell ref="A163:B163"/>
    <mergeCell ref="A168:B168"/>
    <mergeCell ref="H304:L304"/>
    <mergeCell ref="K260:P260"/>
    <mergeCell ref="E261:G261"/>
    <mergeCell ref="H261:J261"/>
    <mergeCell ref="K261:M261"/>
    <mergeCell ref="N261:P261"/>
    <mergeCell ref="E262:G262"/>
    <mergeCell ref="O302:P302"/>
    <mergeCell ref="A303:B303"/>
    <mergeCell ref="H303:L303"/>
    <mergeCell ref="O296:P296"/>
    <mergeCell ref="O297:P297"/>
    <mergeCell ref="O298:P298"/>
    <mergeCell ref="G302:H302"/>
    <mergeCell ref="I302:J302"/>
    <mergeCell ref="A302:B302"/>
    <mergeCell ref="E302:F302"/>
    <mergeCell ref="G193:H193"/>
    <mergeCell ref="C193:C194"/>
    <mergeCell ref="A184:B184"/>
    <mergeCell ref="A185:B185"/>
    <mergeCell ref="A186:B186"/>
    <mergeCell ref="H187:L187"/>
    <mergeCell ref="K302:L302"/>
    <mergeCell ref="M302:N302"/>
    <mergeCell ref="M296:N296"/>
    <mergeCell ref="M297:N297"/>
    <mergeCell ref="M298:N298"/>
    <mergeCell ref="M299:N299"/>
    <mergeCell ref="K299:L299"/>
    <mergeCell ref="A264:B264"/>
    <mergeCell ref="A263:B263"/>
    <mergeCell ref="E263:G263"/>
    <mergeCell ref="H262:J262"/>
    <mergeCell ref="A262:B262"/>
    <mergeCell ref="A199:B199"/>
    <mergeCell ref="A200:B200"/>
    <mergeCell ref="A201:B201"/>
    <mergeCell ref="A212:B212"/>
    <mergeCell ref="A213:B213"/>
    <mergeCell ref="A214:B214"/>
    <mergeCell ref="A223:B223"/>
    <mergeCell ref="H202:L202"/>
    <mergeCell ref="H203:P203"/>
    <mergeCell ref="H206:N206"/>
    <mergeCell ref="A208:B209"/>
    <mergeCell ref="D208:D209"/>
    <mergeCell ref="E208:F208"/>
    <mergeCell ref="G208:H208"/>
    <mergeCell ref="A301:B301"/>
    <mergeCell ref="E301:F301"/>
    <mergeCell ref="E283:G283"/>
    <mergeCell ref="G301:H301"/>
    <mergeCell ref="G296:H296"/>
    <mergeCell ref="G297:H297"/>
    <mergeCell ref="G298:H298"/>
    <mergeCell ref="A300:B300"/>
    <mergeCell ref="E300:F300"/>
    <mergeCell ref="A298:B298"/>
    <mergeCell ref="H215:L215"/>
    <mergeCell ref="H216:P216"/>
    <mergeCell ref="H218:N218"/>
    <mergeCell ref="A220:B221"/>
    <mergeCell ref="D220:D221"/>
    <mergeCell ref="E220:F220"/>
    <mergeCell ref="G220:H220"/>
    <mergeCell ref="I220:J220"/>
    <mergeCell ref="K220:L220"/>
    <mergeCell ref="M220:N220"/>
    <mergeCell ref="O220:P220"/>
    <mergeCell ref="A222:B222"/>
    <mergeCell ref="M300:N300"/>
    <mergeCell ref="O300:P300"/>
    <mergeCell ref="H229:N229"/>
    <mergeCell ref="A231:B232"/>
    <mergeCell ref="D231:D232"/>
    <mergeCell ref="E231:F231"/>
    <mergeCell ref="G231:H231"/>
    <mergeCell ref="I231:J231"/>
    <mergeCell ref="I301:J301"/>
    <mergeCell ref="K301:L301"/>
    <mergeCell ref="M301:N301"/>
    <mergeCell ref="O301:P301"/>
    <mergeCell ref="H225:L225"/>
    <mergeCell ref="K300:L300"/>
    <mergeCell ref="K296:L296"/>
    <mergeCell ref="K297:L297"/>
    <mergeCell ref="K298:L298"/>
    <mergeCell ref="K263:M263"/>
    <mergeCell ref="H227:P227"/>
    <mergeCell ref="H239:L239"/>
    <mergeCell ref="G300:H300"/>
    <mergeCell ref="I300:J300"/>
    <mergeCell ref="G243:H243"/>
    <mergeCell ref="O299:P299"/>
    <mergeCell ref="H240:P240"/>
    <mergeCell ref="H241:N241"/>
    <mergeCell ref="H254:L254"/>
    <mergeCell ref="N262:P262"/>
    <mergeCell ref="N263:P263"/>
    <mergeCell ref="H263:J263"/>
    <mergeCell ref="K262:M262"/>
    <mergeCell ref="G299:H299"/>
    <mergeCell ref="A296:B296"/>
    <mergeCell ref="A297:B297"/>
    <mergeCell ref="A299:B299"/>
    <mergeCell ref="E299:F299"/>
    <mergeCell ref="I299:J299"/>
    <mergeCell ref="E296:F296"/>
    <mergeCell ref="E297:F297"/>
    <mergeCell ref="E298:F298"/>
    <mergeCell ref="I296:J296"/>
    <mergeCell ref="I297:J297"/>
    <mergeCell ref="I298:J298"/>
    <mergeCell ref="K294:L294"/>
    <mergeCell ref="M294:N294"/>
    <mergeCell ref="O294:P294"/>
    <mergeCell ref="A295:B295"/>
    <mergeCell ref="E295:F295"/>
    <mergeCell ref="G295:H295"/>
    <mergeCell ref="I295:J295"/>
    <mergeCell ref="K295:L295"/>
    <mergeCell ref="M295:N295"/>
    <mergeCell ref="O295:P295"/>
    <mergeCell ref="N283:P283"/>
    <mergeCell ref="N284:P284"/>
    <mergeCell ref="A293:B294"/>
    <mergeCell ref="D293:D294"/>
    <mergeCell ref="E293:H293"/>
    <mergeCell ref="I293:L293"/>
    <mergeCell ref="M293:P293"/>
    <mergeCell ref="E294:F294"/>
    <mergeCell ref="G294:H294"/>
    <mergeCell ref="I294:J294"/>
    <mergeCell ref="N285:P285"/>
    <mergeCell ref="A286:B286"/>
    <mergeCell ref="E286:G286"/>
    <mergeCell ref="H286:J286"/>
    <mergeCell ref="K286:M286"/>
    <mergeCell ref="N286:P286"/>
    <mergeCell ref="H285:J285"/>
    <mergeCell ref="K285:M285"/>
    <mergeCell ref="H283:J283"/>
    <mergeCell ref="K283:M283"/>
    <mergeCell ref="E284:G284"/>
    <mergeCell ref="H284:J284"/>
    <mergeCell ref="K284:M284"/>
    <mergeCell ref="A283:B283"/>
    <mergeCell ref="A284:B284"/>
    <mergeCell ref="A271:B271"/>
    <mergeCell ref="E285:G285"/>
    <mergeCell ref="A279:B280"/>
    <mergeCell ref="D279:D280"/>
    <mergeCell ref="E279:J279"/>
    <mergeCell ref="E280:G280"/>
    <mergeCell ref="H280:J280"/>
    <mergeCell ref="A273:B273"/>
    <mergeCell ref="N288:P288"/>
    <mergeCell ref="A289:B289"/>
    <mergeCell ref="H281:J281"/>
    <mergeCell ref="K281:M281"/>
    <mergeCell ref="N281:P281"/>
    <mergeCell ref="A282:B282"/>
    <mergeCell ref="E282:G282"/>
    <mergeCell ref="H282:J282"/>
    <mergeCell ref="K282:M282"/>
    <mergeCell ref="N282:P282"/>
    <mergeCell ref="A288:B288"/>
    <mergeCell ref="E288:G288"/>
    <mergeCell ref="H288:J288"/>
    <mergeCell ref="K288:M288"/>
    <mergeCell ref="K280:M280"/>
    <mergeCell ref="N280:P280"/>
    <mergeCell ref="A287:B287"/>
    <mergeCell ref="E287:G287"/>
    <mergeCell ref="H287:J287"/>
    <mergeCell ref="K287:M287"/>
    <mergeCell ref="N287:P287"/>
    <mergeCell ref="A281:B281"/>
    <mergeCell ref="E281:G281"/>
    <mergeCell ref="A285:B285"/>
    <mergeCell ref="K279:P279"/>
    <mergeCell ref="E271:G271"/>
    <mergeCell ref="H271:J271"/>
    <mergeCell ref="E273:G273"/>
    <mergeCell ref="H273:J273"/>
    <mergeCell ref="E272:G272"/>
    <mergeCell ref="H272:J272"/>
    <mergeCell ref="A274:B274"/>
    <mergeCell ref="A196:B196"/>
    <mergeCell ref="A197:B197"/>
    <mergeCell ref="A269:B270"/>
    <mergeCell ref="A235:B235"/>
    <mergeCell ref="A236:B236"/>
    <mergeCell ref="A237:B237"/>
    <mergeCell ref="A210:B210"/>
    <mergeCell ref="A211:B211"/>
    <mergeCell ref="A243:B244"/>
    <mergeCell ref="D269:D270"/>
    <mergeCell ref="A248:B248"/>
    <mergeCell ref="A249:B249"/>
    <mergeCell ref="A250:B250"/>
    <mergeCell ref="C269:C270"/>
    <mergeCell ref="B251:F251"/>
    <mergeCell ref="E269:J269"/>
    <mergeCell ref="E270:G270"/>
    <mergeCell ref="H270:J270"/>
    <mergeCell ref="H255:P255"/>
    <mergeCell ref="A63:B63"/>
    <mergeCell ref="A64:B64"/>
    <mergeCell ref="A72:B72"/>
    <mergeCell ref="A88:B88"/>
    <mergeCell ref="A76:B76"/>
    <mergeCell ref="A77:B77"/>
    <mergeCell ref="A84:B85"/>
    <mergeCell ref="O331:P331"/>
    <mergeCell ref="A332:B332"/>
    <mergeCell ref="I330:L330"/>
    <mergeCell ref="O324:P324"/>
    <mergeCell ref="A325:B325"/>
    <mergeCell ref="A324:B324"/>
    <mergeCell ref="F324:G324"/>
    <mergeCell ref="I324:J324"/>
    <mergeCell ref="L324:M324"/>
    <mergeCell ref="E330:H330"/>
    <mergeCell ref="A334:B334"/>
    <mergeCell ref="H334:L334"/>
    <mergeCell ref="H335:L335"/>
    <mergeCell ref="A333:B333"/>
    <mergeCell ref="E333:F333"/>
    <mergeCell ref="G333:H333"/>
    <mergeCell ref="K333:L333"/>
    <mergeCell ref="A343:B343"/>
    <mergeCell ref="A313:B313"/>
    <mergeCell ref="A314:B314"/>
    <mergeCell ref="E332:F332"/>
    <mergeCell ref="A320:B321"/>
    <mergeCell ref="D320:D321"/>
    <mergeCell ref="F322:G322"/>
    <mergeCell ref="G332:H332"/>
    <mergeCell ref="H317:L317"/>
    <mergeCell ref="F321:G321"/>
    <mergeCell ref="L347:M347"/>
    <mergeCell ref="A348:B348"/>
    <mergeCell ref="F348:G348"/>
    <mergeCell ref="I348:J348"/>
    <mergeCell ref="L348:M348"/>
    <mergeCell ref="A349:B349"/>
    <mergeCell ref="A340:B342"/>
    <mergeCell ref="D340:D342"/>
    <mergeCell ref="E340:J340"/>
    <mergeCell ref="A344:B344"/>
    <mergeCell ref="A345:B345"/>
    <mergeCell ref="A346:B346"/>
    <mergeCell ref="I344:J344"/>
    <mergeCell ref="A347:B347"/>
    <mergeCell ref="F347:G347"/>
    <mergeCell ref="A308:B310"/>
    <mergeCell ref="D308:D310"/>
    <mergeCell ref="E308:H308"/>
    <mergeCell ref="I308:L308"/>
    <mergeCell ref="E309:F309"/>
    <mergeCell ref="G309:H309"/>
    <mergeCell ref="I309:J309"/>
    <mergeCell ref="K309:L309"/>
    <mergeCell ref="M308:N308"/>
    <mergeCell ref="L344:M344"/>
    <mergeCell ref="L345:M345"/>
    <mergeCell ref="L346:M346"/>
    <mergeCell ref="M309:N309"/>
    <mergeCell ref="K320:M320"/>
    <mergeCell ref="N320:P320"/>
    <mergeCell ref="O332:P332"/>
    <mergeCell ref="O333:P333"/>
    <mergeCell ref="M332:N332"/>
    <mergeCell ref="O344:P344"/>
    <mergeCell ref="O345:P345"/>
    <mergeCell ref="F342:G342"/>
    <mergeCell ref="I342:J342"/>
    <mergeCell ref="L342:M342"/>
    <mergeCell ref="O342:P342"/>
    <mergeCell ref="F343:G343"/>
    <mergeCell ref="I343:J343"/>
    <mergeCell ref="L343:M343"/>
    <mergeCell ref="O343:P343"/>
    <mergeCell ref="K340:P340"/>
    <mergeCell ref="A311:B311"/>
    <mergeCell ref="A312:B312"/>
    <mergeCell ref="I332:J332"/>
    <mergeCell ref="K332:L332"/>
    <mergeCell ref="E320:G320"/>
    <mergeCell ref="H320:J320"/>
    <mergeCell ref="M333:N333"/>
    <mergeCell ref="I333:J333"/>
    <mergeCell ref="I321:J321"/>
    <mergeCell ref="I356:J356"/>
    <mergeCell ref="F344:G344"/>
    <mergeCell ref="F345:G345"/>
    <mergeCell ref="F346:G346"/>
    <mergeCell ref="E354:J354"/>
    <mergeCell ref="I345:J345"/>
    <mergeCell ref="I346:J346"/>
    <mergeCell ref="E355:G355"/>
    <mergeCell ref="H355:J355"/>
    <mergeCell ref="I347:J347"/>
    <mergeCell ref="L356:M356"/>
    <mergeCell ref="O356:P356"/>
    <mergeCell ref="A357:B357"/>
    <mergeCell ref="F357:G357"/>
    <mergeCell ref="I357:J357"/>
    <mergeCell ref="L357:M357"/>
    <mergeCell ref="O357:P357"/>
    <mergeCell ref="A354:B356"/>
    <mergeCell ref="D354:D356"/>
    <mergeCell ref="F356:G356"/>
    <mergeCell ref="O358:P358"/>
    <mergeCell ref="A359:B359"/>
    <mergeCell ref="F359:G359"/>
    <mergeCell ref="I359:J359"/>
    <mergeCell ref="L359:M359"/>
    <mergeCell ref="O359:P359"/>
    <mergeCell ref="A358:B358"/>
    <mergeCell ref="F358:G358"/>
    <mergeCell ref="I358:J358"/>
    <mergeCell ref="L358:M358"/>
    <mergeCell ref="O360:P360"/>
    <mergeCell ref="A361:B361"/>
    <mergeCell ref="F361:G361"/>
    <mergeCell ref="I361:J361"/>
    <mergeCell ref="L361:M361"/>
    <mergeCell ref="O361:P361"/>
    <mergeCell ref="A360:B360"/>
    <mergeCell ref="F360:G360"/>
    <mergeCell ref="I360:J360"/>
    <mergeCell ref="L360:M360"/>
    <mergeCell ref="A362:B362"/>
    <mergeCell ref="F362:G362"/>
    <mergeCell ref="I362:J362"/>
    <mergeCell ref="L362:M362"/>
    <mergeCell ref="O362:P362"/>
    <mergeCell ref="A363:B363"/>
    <mergeCell ref="E331:F331"/>
    <mergeCell ref="G331:H331"/>
    <mergeCell ref="I331:J331"/>
    <mergeCell ref="K331:L331"/>
    <mergeCell ref="M331:N331"/>
    <mergeCell ref="D330:D331"/>
    <mergeCell ref="A330:B331"/>
    <mergeCell ref="M330:P330"/>
  </mergeCells>
  <printOptions/>
  <pageMargins left="0.7874015748031497" right="0.7874015748031497" top="0.984251968503937" bottom="0.984251968503937" header="0.5118110236220472" footer="0.5118110236220472"/>
  <pageSetup horizontalDpi="600" verticalDpi="600" orientation="landscape" paperSize="8" scale="56" r:id="rId1"/>
  <rowBreaks count="8" manualBreakCount="8">
    <brk id="42" max="255" man="1"/>
    <brk id="82" max="255" man="1"/>
    <brk id="125" max="255" man="1"/>
    <brk id="176" max="255" man="1"/>
    <brk id="218" max="255" man="1"/>
    <brk id="254" max="20" man="1"/>
    <brk id="291" max="20" man="1"/>
    <brk id="32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Stéphane Sobanski</dc:creator>
  <cp:keywords/>
  <dc:description/>
  <cp:lastModifiedBy>chaduteaub</cp:lastModifiedBy>
  <cp:lastPrinted>2009-07-24T09:26:26Z</cp:lastPrinted>
  <dcterms:created xsi:type="dcterms:W3CDTF">2009-06-07T07:53:54Z</dcterms:created>
  <dcterms:modified xsi:type="dcterms:W3CDTF">2011-01-24T14:58:21Z</dcterms:modified>
  <cp:category/>
  <cp:version/>
  <cp:contentType/>
  <cp:contentStatus/>
</cp:coreProperties>
</file>